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BS-Fp01\Users$\DUD02394\Desktop\"/>
    </mc:Choice>
  </mc:AlternateContent>
  <xr:revisionPtr revIDLastSave="0" documentId="8_{FE1290FA-7A76-4B8B-B28F-333A364100D5}" xr6:coauthVersionLast="47" xr6:coauthVersionMax="47" xr10:uidLastSave="{00000000-0000-0000-0000-000000000000}"/>
  <bookViews>
    <workbookView xWindow="-108" yWindow="-108" windowWidth="23256" windowHeight="13896" xr2:uid="{2CFF43C4-CCA9-42AE-B6AD-69F67FF84B42}"/>
  </bookViews>
  <sheets>
    <sheet name="11168_LenderPanelFile  Approved" sheetId="1" r:id="rId1"/>
  </sheets>
  <calcPr calcId="0"/>
</workbook>
</file>

<file path=xl/calcChain.xml><?xml version="1.0" encoding="utf-8"?>
<calcChain xmlns="http://schemas.openxmlformats.org/spreadsheetml/2006/main">
  <c r="H2" i="1" l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</calcChain>
</file>

<file path=xl/sharedStrings.xml><?xml version="1.0" encoding="utf-8"?>
<sst xmlns="http://schemas.openxmlformats.org/spreadsheetml/2006/main" count="19930" uniqueCount="11994">
  <si>
    <t>Name</t>
  </si>
  <si>
    <t>Address_1</t>
  </si>
  <si>
    <t>Address_2</t>
  </si>
  <si>
    <t>Address_3</t>
  </si>
  <si>
    <t>Address_4</t>
  </si>
  <si>
    <t>Post_Code</t>
  </si>
  <si>
    <t>Email_Address</t>
  </si>
  <si>
    <t>Telephone_Number</t>
  </si>
  <si>
    <t>Chapter Law Limited</t>
  </si>
  <si>
    <t>First Floor, Estate House, 12 Church Green East</t>
  </si>
  <si>
    <t xml:space="preserve">Redditch </t>
  </si>
  <si>
    <t>Worcestershire</t>
  </si>
  <si>
    <t>B98 8BP</t>
  </si>
  <si>
    <t>misbah.zulfiqar@chapterlaw.co.uk</t>
  </si>
  <si>
    <t>Birmingham</t>
  </si>
  <si>
    <t>Innovation Centre, 1 Devon Way</t>
  </si>
  <si>
    <t>West Midlands</t>
  </si>
  <si>
    <t>B31 2TS</t>
  </si>
  <si>
    <t>Parkinson Wright LLP</t>
  </si>
  <si>
    <t>Haswell House, St Nicholas Street</t>
  </si>
  <si>
    <t>Worcester</t>
  </si>
  <si>
    <t>WR1 1UN</t>
  </si>
  <si>
    <t>jsm@parkinsonwright.co.uk</t>
  </si>
  <si>
    <t>4 Abbey Lane Court, Abbey Lane</t>
  </si>
  <si>
    <t>Evesham</t>
  </si>
  <si>
    <t>WR11 4BY</t>
  </si>
  <si>
    <t>evesham@parkinsonwright.co.uk</t>
  </si>
  <si>
    <t>21 Victoria Square</t>
  </si>
  <si>
    <t>Droitwich</t>
  </si>
  <si>
    <t>WR9 8DG</t>
  </si>
  <si>
    <t>droitwich@parkinsonwright.co.uk</t>
  </si>
  <si>
    <t>2-6 Bromyard Road</t>
  </si>
  <si>
    <t>St Johns</t>
  </si>
  <si>
    <t>WR2 5BP</t>
  </si>
  <si>
    <t>jn@parkinsonwright.co.uk</t>
  </si>
  <si>
    <t>Eaton-Evans and Morris Limited</t>
  </si>
  <si>
    <t>12 High Street</t>
  </si>
  <si>
    <t>Haverfordwest</t>
  </si>
  <si>
    <t>Pembrokeshire</t>
  </si>
  <si>
    <t>SA61 2DB</t>
  </si>
  <si>
    <t>CEO@eaton-evans.com</t>
  </si>
  <si>
    <t>London House</t>
  </si>
  <si>
    <t>Market Square</t>
  </si>
  <si>
    <t>Abergwaun</t>
  </si>
  <si>
    <t>SA65 9HA</t>
  </si>
  <si>
    <t>enquiries@eaton-evans.com</t>
  </si>
  <si>
    <t>Pembroke Dock</t>
  </si>
  <si>
    <t>23 Meyrick Street</t>
  </si>
  <si>
    <t>SA72 6AL</t>
  </si>
  <si>
    <t>TBD Legal Limited</t>
  </si>
  <si>
    <t>Brunswick House, 1310 Gloucester Business Park</t>
  </si>
  <si>
    <t>Brockworth</t>
  </si>
  <si>
    <t>Gloucester</t>
  </si>
  <si>
    <t>Gloucestershire</t>
  </si>
  <si>
    <t>GL3 4AA</t>
  </si>
  <si>
    <t>alltlgtransactional@thomas.legal</t>
  </si>
  <si>
    <t>93 Gloucester Place</t>
  </si>
  <si>
    <t>London</t>
  </si>
  <si>
    <t>W1U 6JQ</t>
  </si>
  <si>
    <t>london@thomas.legal</t>
  </si>
  <si>
    <t>Pithay Court</t>
  </si>
  <si>
    <t>Bristol</t>
  </si>
  <si>
    <t>BS1 3BN</t>
  </si>
  <si>
    <t>brs@thomas.legal</t>
  </si>
  <si>
    <t>Scott Duff &amp; Co Limited</t>
  </si>
  <si>
    <t>40 King Street</t>
  </si>
  <si>
    <t>Penrith</t>
  </si>
  <si>
    <t>Cumbria</t>
  </si>
  <si>
    <t>CA11 7AY</t>
  </si>
  <si>
    <t>shaun.martin@scottduff.co.uk</t>
  </si>
  <si>
    <t>Carlisle</t>
  </si>
  <si>
    <t>3 Devonshire Street</t>
  </si>
  <si>
    <t>CA3 8LG</t>
  </si>
  <si>
    <t>Dean Wilson LLP</t>
  </si>
  <si>
    <t>Ridgeland House</t>
  </si>
  <si>
    <t>165 Dyke Road</t>
  </si>
  <si>
    <t>Brighton</t>
  </si>
  <si>
    <t xml:space="preserve">East Sussex </t>
  </si>
  <si>
    <t>BN3 1TL</t>
  </si>
  <si>
    <t>sac@deanwilson.co.uk</t>
  </si>
  <si>
    <t>HCB Legal Ltd</t>
  </si>
  <si>
    <t>Cornwall Buildings, 45 Newhall Street</t>
  </si>
  <si>
    <t>B3 3QR</t>
  </si>
  <si>
    <t>resikent@hcbgroup.com</t>
  </si>
  <si>
    <t>TUNBRIDGE WELLS</t>
  </si>
  <si>
    <t>PANTILE CHAMBERS, 85 HIGH STREET</t>
  </si>
  <si>
    <t>KENT</t>
  </si>
  <si>
    <t>TN1 1XP</t>
  </si>
  <si>
    <t>Eastbourne</t>
  </si>
  <si>
    <t>78 The Beacon</t>
  </si>
  <si>
    <t>BN21 3NW</t>
  </si>
  <si>
    <t>eastbourne@hcbgroup.com</t>
  </si>
  <si>
    <t>MFG Solicitors LLP</t>
  </si>
  <si>
    <t>1 High Street</t>
  </si>
  <si>
    <t>Bromsgrove</t>
  </si>
  <si>
    <t>B61 8AJ</t>
  </si>
  <si>
    <t>lucie.couchman@mfgsolicitors.com</t>
  </si>
  <si>
    <t>Kidderminster</t>
  </si>
  <si>
    <t>Adam House, Birmingham Road</t>
  </si>
  <si>
    <t>DY10 2SH</t>
  </si>
  <si>
    <t>javed.ahmed@mfgsolicitors.com</t>
  </si>
  <si>
    <t>Tythe House, 20-21 The Tything</t>
  </si>
  <si>
    <t>WR1 1HD</t>
  </si>
  <si>
    <t xml:space="preserve">sharon.lerry@mfgsolicitors.com </t>
  </si>
  <si>
    <t>Telford</t>
  </si>
  <si>
    <t>Padmore House, Hall Court, Hall Park Way</t>
  </si>
  <si>
    <t>Shropshire</t>
  </si>
  <si>
    <t>TF3 4LX</t>
  </si>
  <si>
    <t>andrew.davies@mfgsolicitors.com</t>
  </si>
  <si>
    <t>Ludlow</t>
  </si>
  <si>
    <t>9 Corve Street</t>
  </si>
  <si>
    <t>SY8 1DE</t>
  </si>
  <si>
    <t>richard.connolly@mfgsolicitors.com</t>
  </si>
  <si>
    <t>3rd Floor, Waterloo House</t>
  </si>
  <si>
    <t>20 Waterloo Street</t>
  </si>
  <si>
    <t>B2 5TB</t>
  </si>
  <si>
    <t>mfgitsadmin@mfgsolicitors.com</t>
  </si>
  <si>
    <t>AWD Legal Services Limited</t>
  </si>
  <si>
    <t>4 The Potteries</t>
  </si>
  <si>
    <t>Wickham Road</t>
  </si>
  <si>
    <t>Fareham</t>
  </si>
  <si>
    <t>Hampshire</t>
  </si>
  <si>
    <t>PO16 7ET</t>
  </si>
  <si>
    <t>paul@awdlaw.co.uk</t>
  </si>
  <si>
    <t>Southampton</t>
  </si>
  <si>
    <t>Merchants House, High Street</t>
  </si>
  <si>
    <t>Bishops Waltham</t>
  </si>
  <si>
    <t>SO32 1AA</t>
  </si>
  <si>
    <t>info@awdlaw.co.uk</t>
  </si>
  <si>
    <t>R &amp; B LEGAL LTD</t>
  </si>
  <si>
    <t>20 Victoria Street</t>
  </si>
  <si>
    <t>Morecambe</t>
  </si>
  <si>
    <t>Lancashire</t>
  </si>
  <si>
    <t>LA4 4AH</t>
  </si>
  <si>
    <t>daniel.coll@rblegal.co.uk</t>
  </si>
  <si>
    <t>Carnforth</t>
  </si>
  <si>
    <t>The Bank, 44 Market Street</t>
  </si>
  <si>
    <t>LA5 9JX</t>
  </si>
  <si>
    <t>Weisberg Legal Limited</t>
  </si>
  <si>
    <t>4 - 5  Hayes Place</t>
  </si>
  <si>
    <t>Bear Flat</t>
  </si>
  <si>
    <t>Bath</t>
  </si>
  <si>
    <t>BA2 4QW</t>
  </si>
  <si>
    <t>kieran@weisberglegal.co.uk</t>
  </si>
  <si>
    <t>Royce Legal Ltd</t>
  </si>
  <si>
    <t>1st Floor, 7 Wellington Road East</t>
  </si>
  <si>
    <t>Dewsbury</t>
  </si>
  <si>
    <t>WF13 1HF</t>
  </si>
  <si>
    <t>h.amer@roycelegal.co.uk</t>
  </si>
  <si>
    <t>E J Winter &amp; Son LLP</t>
  </si>
  <si>
    <t>One Forbury Square</t>
  </si>
  <si>
    <t>The Forbury</t>
  </si>
  <si>
    <t>Reading</t>
  </si>
  <si>
    <t>Berkshire</t>
  </si>
  <si>
    <t>RG1 3BB</t>
  </si>
  <si>
    <t>paul@ejwinter.co.uk</t>
  </si>
  <si>
    <t>Converse Law Limited</t>
  </si>
  <si>
    <t>Formal House, 60 St George's Place</t>
  </si>
  <si>
    <t>Cheltenham</t>
  </si>
  <si>
    <t>GL50 3PN</t>
  </si>
  <si>
    <t>maria.williams@converselaw.com</t>
  </si>
  <si>
    <t>Woodstock Legal Services Limited.</t>
  </si>
  <si>
    <t xml:space="preserve">11 Haven Road </t>
  </si>
  <si>
    <t>POOLE</t>
  </si>
  <si>
    <t>Dorset</t>
  </si>
  <si>
    <t>BH13 7LE</t>
  </si>
  <si>
    <t>n.boyland@woodstocklegalservices.co.uk</t>
  </si>
  <si>
    <t>Lease Law Limited</t>
  </si>
  <si>
    <t>Second Floor, Main House</t>
  </si>
  <si>
    <t>Turkey Court, Turkey Mill, Ashford Road</t>
  </si>
  <si>
    <t>Maidstone</t>
  </si>
  <si>
    <t>Kent</t>
  </si>
  <si>
    <t>ME14 5PP</t>
  </si>
  <si>
    <t>jade@leaselaw.co.uk</t>
  </si>
  <si>
    <t>Rubin Lewis O'Brien LLP</t>
  </si>
  <si>
    <t>Pendragon House</t>
  </si>
  <si>
    <t>General Rees Square</t>
  </si>
  <si>
    <t>Cwmbran</t>
  </si>
  <si>
    <t>Torfaen</t>
  </si>
  <si>
    <t>NP44 1AJ</t>
  </si>
  <si>
    <t>sally.chesse@rlo.law</t>
  </si>
  <si>
    <t>Pictons Solicitors LLP</t>
  </si>
  <si>
    <t xml:space="preserve">11 High Street </t>
  </si>
  <si>
    <t>Tring</t>
  </si>
  <si>
    <t>Hertfordshire</t>
  </si>
  <si>
    <t>HP23 5AL</t>
  </si>
  <si>
    <t xml:space="preserve">melanie.lawrence@pictons.co.uk </t>
  </si>
  <si>
    <t>Milton Keynes</t>
  </si>
  <si>
    <t>Unit B, Ground Floor Moorgate House</t>
  </si>
  <si>
    <t>201 Silbury Boulevard</t>
  </si>
  <si>
    <t xml:space="preserve">Buckinghamshire </t>
  </si>
  <si>
    <t>MK9 1JL</t>
  </si>
  <si>
    <t>info@pictons.co.uk</t>
  </si>
  <si>
    <t>Caddington</t>
  </si>
  <si>
    <t>Ground Floor Building One, Eden Brae Business Park</t>
  </si>
  <si>
    <t>Dunstable Road</t>
  </si>
  <si>
    <t>LU1 4FF</t>
  </si>
  <si>
    <t>Couchman Hanson Limited</t>
  </si>
  <si>
    <t>5 Charter Walk, West Street</t>
  </si>
  <si>
    <t>Haslemere</t>
  </si>
  <si>
    <t>Surrey</t>
  </si>
  <si>
    <t>GU27 2AD</t>
  </si>
  <si>
    <t>h.west@couchmanhanson.co.uk</t>
  </si>
  <si>
    <t>Camberley</t>
  </si>
  <si>
    <t>143b Frimley Road</t>
  </si>
  <si>
    <t>GU15 2PS</t>
  </si>
  <si>
    <t>info@constantineandsummers.co.uk</t>
  </si>
  <si>
    <t>Farnham</t>
  </si>
  <si>
    <t>10 Borelli Yard</t>
  </si>
  <si>
    <t>GU9 7NU</t>
  </si>
  <si>
    <t>farnham@couchmanhanson.co.uk</t>
  </si>
  <si>
    <t>Conquest Law Ltd</t>
  </si>
  <si>
    <t>139 Wellgate</t>
  </si>
  <si>
    <t>Rotherham</t>
  </si>
  <si>
    <t>S60 2NN</t>
  </si>
  <si>
    <t>mohammed.arfaan@conquestlaw.co.uk</t>
  </si>
  <si>
    <t xml:space="preserve">2 Milton Avenue </t>
  </si>
  <si>
    <t xml:space="preserve">London </t>
  </si>
  <si>
    <t>E6 1BQ</t>
  </si>
  <si>
    <t>info@conquestlaw.co.uk</t>
  </si>
  <si>
    <t>Allerton and Gladstone Ltd</t>
  </si>
  <si>
    <t>2 Phoenix Business Park, Avenue Close</t>
  </si>
  <si>
    <t>B7 4NU</t>
  </si>
  <si>
    <t>efzana@allertongladstone.com</t>
  </si>
  <si>
    <t>Taylor Bracewell Law Limited</t>
  </si>
  <si>
    <t>17-23 Thorne Road</t>
  </si>
  <si>
    <t>Doncaster</t>
  </si>
  <si>
    <t>South Yorkshire</t>
  </si>
  <si>
    <t>DN1 2RP</t>
  </si>
  <si>
    <t>mark.w@taylorbracewell.co.uk</t>
  </si>
  <si>
    <t>Number One Railway Court, Ten Pound Walk</t>
  </si>
  <si>
    <t>DN4 5FB</t>
  </si>
  <si>
    <t>Mark.w@taylorbracewell.co.uk</t>
  </si>
  <si>
    <t>Hutsby Mees Limited</t>
  </si>
  <si>
    <t>5,6 &amp; 7A St Mary's Grove</t>
  </si>
  <si>
    <t>Stafford</t>
  </si>
  <si>
    <t>Staffordshire</t>
  </si>
  <si>
    <t>ST16 2AT</t>
  </si>
  <si>
    <t>dmees@hutsbymees.co.uk</t>
  </si>
  <si>
    <t>Grey-Smith Legal Limited</t>
  </si>
  <si>
    <t>97 High Street</t>
  </si>
  <si>
    <t>Skelton-in-Cleveland</t>
  </si>
  <si>
    <t>Saltburn-By-The-Sea</t>
  </si>
  <si>
    <t>TS12 2DY</t>
  </si>
  <si>
    <t>jo.grey@grey-smithlegal.com</t>
  </si>
  <si>
    <t>Billingham</t>
  </si>
  <si>
    <t>67 Queensway</t>
  </si>
  <si>
    <t>Stockton-on-Tees</t>
  </si>
  <si>
    <t>TS23 2LU</t>
  </si>
  <si>
    <t>info@grey-smithlegal.com</t>
  </si>
  <si>
    <t>Spennymoor</t>
  </si>
  <si>
    <t>14 High Street</t>
  </si>
  <si>
    <t>DL16 6DB</t>
  </si>
  <si>
    <t>Yarm</t>
  </si>
  <si>
    <t>63 High Street</t>
  </si>
  <si>
    <t>TS15 9BH</t>
  </si>
  <si>
    <t>Middlesbrough</t>
  </si>
  <si>
    <t>329 Linthorpe Road</t>
  </si>
  <si>
    <t>TS5 6AA</t>
  </si>
  <si>
    <t>The Priory Law Group Limited</t>
  </si>
  <si>
    <t>Vantage House, First Floor, 1a Mid Street</t>
  </si>
  <si>
    <t>South Nutfield</t>
  </si>
  <si>
    <t>RH1 4JY</t>
  </si>
  <si>
    <t>ryan.letts@priory.law</t>
  </si>
  <si>
    <t xml:space="preserve">Kingsley Bond Solicitors Limited </t>
  </si>
  <si>
    <t>13A Market Street</t>
  </si>
  <si>
    <t>Alton</t>
  </si>
  <si>
    <t>GU34 1HA</t>
  </si>
  <si>
    <t xml:space="preserve">mo@kingsleybond.co.uk </t>
  </si>
  <si>
    <t>Linden House</t>
  </si>
  <si>
    <t>34 Crowhurst Mead</t>
  </si>
  <si>
    <t>Godstone</t>
  </si>
  <si>
    <t>RH9 8BF</t>
  </si>
  <si>
    <t>mo@kingsleybond.co.uk</t>
  </si>
  <si>
    <t>30 Churchill Place</t>
  </si>
  <si>
    <t>E14 5RE</t>
  </si>
  <si>
    <t>Newstead &amp; Walker Limited</t>
  </si>
  <si>
    <t>Mercury House</t>
  </si>
  <si>
    <t>Mercury Row</t>
  </si>
  <si>
    <t>Otley</t>
  </si>
  <si>
    <t>West Yorkshire</t>
  </si>
  <si>
    <t>LS21 3HQ</t>
  </si>
  <si>
    <t>lakhi.bual@newsteadwalker.co.uk</t>
  </si>
  <si>
    <t>Bradley Morrell Solicitors Limited</t>
  </si>
  <si>
    <t>Unit 1, The Mall, Market Street</t>
  </si>
  <si>
    <t xml:space="preserve">Clay Cross </t>
  </si>
  <si>
    <t>Chesterfield</t>
  </si>
  <si>
    <t>S45 9JE</t>
  </si>
  <si>
    <t>nicki@bradleymorrell.co.uk</t>
  </si>
  <si>
    <t>Fletcher Longstaff Limited</t>
  </si>
  <si>
    <t>The Regatta, Henley Way</t>
  </si>
  <si>
    <t>Lincoln</t>
  </si>
  <si>
    <t>Lincolnshire</t>
  </si>
  <si>
    <t>LN6 3QR</t>
  </si>
  <si>
    <t>tom.hansen@fletcherlongstaff.com</t>
  </si>
  <si>
    <t>Beyond Conveyancing Limited</t>
  </si>
  <si>
    <t>4 Castle Street</t>
  </si>
  <si>
    <t>Manchester</t>
  </si>
  <si>
    <t>M3 4LZ</t>
  </si>
  <si>
    <t>cordelia.grassby@homepropertylaw.co.uk</t>
  </si>
  <si>
    <t>Gateway 2 Conveyancing Limited</t>
  </si>
  <si>
    <t>Suite 1, 8th Floor, Eastgate House</t>
  </si>
  <si>
    <t>Newport Road</t>
  </si>
  <si>
    <t>Cardiff</t>
  </si>
  <si>
    <t>CF24 0AB</t>
  </si>
  <si>
    <t>paulk@g2conveyancing.co.uk</t>
  </si>
  <si>
    <t>Almy &amp; Thomas Limited</t>
  </si>
  <si>
    <t>71 Abbey Road</t>
  </si>
  <si>
    <t>Torquay</t>
  </si>
  <si>
    <t>Devon</t>
  </si>
  <si>
    <t>TQ2 5NL</t>
  </si>
  <si>
    <t>linc@almythomas.co.uk</t>
  </si>
  <si>
    <t>Hall Smith Whittingham LLP</t>
  </si>
  <si>
    <t>1 Dysart Buildings</t>
  </si>
  <si>
    <t>Nantwich</t>
  </si>
  <si>
    <t>Cheshire</t>
  </si>
  <si>
    <t>CW5 5DP</t>
  </si>
  <si>
    <t>law@hswsolicitors.co.uk</t>
  </si>
  <si>
    <t>172-174 Nantwich Road</t>
  </si>
  <si>
    <t>Crewe</t>
  </si>
  <si>
    <t>CW2 6BW</t>
  </si>
  <si>
    <t>Marshfield Bank</t>
  </si>
  <si>
    <t>Woolstanwood</t>
  </si>
  <si>
    <t>CW2 8UY</t>
  </si>
  <si>
    <t>G M Wilson Solicitors Limited</t>
  </si>
  <si>
    <t>1 Crown Court</t>
  </si>
  <si>
    <t>Wakefield</t>
  </si>
  <si>
    <t>WF1 2SU</t>
  </si>
  <si>
    <t>corrie@gmwilson.co.uk</t>
  </si>
  <si>
    <t>Unit 2 Holdsworth House</t>
  </si>
  <si>
    <t>11A Wood Street</t>
  </si>
  <si>
    <t>WF1 2EL</t>
  </si>
  <si>
    <t>Lamb Brooks LLP</t>
  </si>
  <si>
    <t>Victoria House, 39 Winchester Street</t>
  </si>
  <si>
    <t>Basingstoke</t>
  </si>
  <si>
    <t>RG21 7EQ</t>
  </si>
  <si>
    <t>janine.pendryclark@lambbrooks.com</t>
  </si>
  <si>
    <t>Hannays Solicitors and Advocates Limited</t>
  </si>
  <si>
    <t>19 Beach Road</t>
  </si>
  <si>
    <t>South Shields</t>
  </si>
  <si>
    <t>Tyne and Wear</t>
  </si>
  <si>
    <t>NE33 2QA</t>
  </si>
  <si>
    <t>margarita.rainford@hannayslaw.co.uk</t>
  </si>
  <si>
    <t>Arch Law Limited</t>
  </si>
  <si>
    <t>Linley House</t>
  </si>
  <si>
    <t>Dickinson Street</t>
  </si>
  <si>
    <t>M1 4LF</t>
  </si>
  <si>
    <t>natasha.istanbul@arch.law</t>
  </si>
  <si>
    <t>55 Colmore Row</t>
  </si>
  <si>
    <t>B3 2AA</t>
  </si>
  <si>
    <t>Level 1, Devonshire House</t>
  </si>
  <si>
    <t>1 Mayfair Place</t>
  </si>
  <si>
    <t>W1J 8AJ</t>
  </si>
  <si>
    <t>andrew@arch.law</t>
  </si>
  <si>
    <t>10-12 East Parade</t>
  </si>
  <si>
    <t>Leeds</t>
  </si>
  <si>
    <t>LS1 2BH</t>
  </si>
  <si>
    <t>lee.gaddes@arch.law</t>
  </si>
  <si>
    <t>Huckletree Floor 2, 8 Bishopsgate</t>
  </si>
  <si>
    <t>EC2N 4BQ</t>
  </si>
  <si>
    <t>Suite 215, Northlight House</t>
  </si>
  <si>
    <t>Pendle Road</t>
  </si>
  <si>
    <t>Brierfield</t>
  </si>
  <si>
    <t>Nelson</t>
  </si>
  <si>
    <t>BB9 5FL</t>
  </si>
  <si>
    <t>hello@arch.law</t>
  </si>
  <si>
    <t>Buckles Solicitors LLP</t>
  </si>
  <si>
    <t>Grant House, 101 Bourges Boulevard</t>
  </si>
  <si>
    <t>Peterborough</t>
  </si>
  <si>
    <t>Cambridgeshire</t>
  </si>
  <si>
    <t>PE1 1NG</t>
  </si>
  <si>
    <t>Michaela.DePaola@buckles-law.co.uk</t>
  </si>
  <si>
    <t>Stamford</t>
  </si>
  <si>
    <t>3 St Marys Hill</t>
  </si>
  <si>
    <t>PE9 2DW</t>
  </si>
  <si>
    <t>Chancery House</t>
  </si>
  <si>
    <t>Chancery Lane</t>
  </si>
  <si>
    <t>Holborn</t>
  </si>
  <si>
    <t>WC2A 1QS</t>
  </si>
  <si>
    <t>Cambridge</t>
  </si>
  <si>
    <t>Regent House, 133 Station Road</t>
  </si>
  <si>
    <t>Impington</t>
  </si>
  <si>
    <t>CB24 9NP</t>
  </si>
  <si>
    <t>Swindon</t>
  </si>
  <si>
    <t>1 Lancaster House, Hindle Way</t>
  </si>
  <si>
    <t>Edison Business Park</t>
  </si>
  <si>
    <t>SN3 3RT</t>
  </si>
  <si>
    <t>Suite 1.1 Queen Square House</t>
  </si>
  <si>
    <t>18 - 21 Queen Square</t>
  </si>
  <si>
    <t>BS1 4NH</t>
  </si>
  <si>
    <t>Wildan Legal Solicitors Ltd</t>
  </si>
  <si>
    <t>2-12 Cambridge Heath Road</t>
  </si>
  <si>
    <t>E1 5QH</t>
  </si>
  <si>
    <t>m.salim@wildanlegal.com</t>
  </si>
  <si>
    <t>Taylor Walton LLP</t>
  </si>
  <si>
    <t>28-44 Alma Street</t>
  </si>
  <si>
    <t>Luton</t>
  </si>
  <si>
    <t>Bedfordshire</t>
  </si>
  <si>
    <t>LU1 2PL</t>
  </si>
  <si>
    <t>caroline.hume@taylorwalton.co.uk</t>
  </si>
  <si>
    <t>Harpenden</t>
  </si>
  <si>
    <t>TW House, Station Approach</t>
  </si>
  <si>
    <t>AL5 4SP</t>
  </si>
  <si>
    <t>St Albans</t>
  </si>
  <si>
    <t>Thornycroft House, 107 Holywell Hill</t>
  </si>
  <si>
    <t>AL1 1HQ</t>
  </si>
  <si>
    <t>Yates &amp; Co</t>
  </si>
  <si>
    <t>6 Willow Wong</t>
  </si>
  <si>
    <t>Burton Joyce</t>
  </si>
  <si>
    <t>Nottingham</t>
  </si>
  <si>
    <t>Nottinghamshire</t>
  </si>
  <si>
    <t>NG14 5FD</t>
  </si>
  <si>
    <t>harveypabla@qualitysolicitorsyates.com</t>
  </si>
  <si>
    <t>Progeny Law &amp; Tax Limited</t>
  </si>
  <si>
    <t>1a Tower Square</t>
  </si>
  <si>
    <t>LS1 4DL</t>
  </si>
  <si>
    <t>conveyancing@theprogenygroup.com</t>
  </si>
  <si>
    <t>Gowlings Solicitors Limited</t>
  </si>
  <si>
    <t>Derby House, Lytham Road</t>
  </si>
  <si>
    <t>Fulwood</t>
  </si>
  <si>
    <t>Preston</t>
  </si>
  <si>
    <t>PR2 8JE</t>
  </si>
  <si>
    <t>idris@gowlingslaw.co.uk</t>
  </si>
  <si>
    <t>Morrish Solicitors LLP</t>
  </si>
  <si>
    <t>61 High Street</t>
  </si>
  <si>
    <t>Yeadon</t>
  </si>
  <si>
    <t>LS19 7SP</t>
  </si>
  <si>
    <t>mark.laird@morrishsolicitors.com</t>
  </si>
  <si>
    <t>9 Lowtown</t>
  </si>
  <si>
    <t>Pudsey</t>
  </si>
  <si>
    <t>LS28 7BQ</t>
  </si>
  <si>
    <t>ann.mulheron@morrishsolicitors.com</t>
  </si>
  <si>
    <t>Habito Conveyancing Ltd</t>
  </si>
  <si>
    <t>Habito Conveyancing, Monzo Bank Ltd</t>
  </si>
  <si>
    <t>Broadwalk House, 5 Appold Street</t>
  </si>
  <si>
    <t>Greater London</t>
  </si>
  <si>
    <t>EC2A 2AG</t>
  </si>
  <si>
    <t>jigna.kotedia@conveyancing.habito.com</t>
  </si>
  <si>
    <t>Storrar Cowdry &amp; Co Limited</t>
  </si>
  <si>
    <t>India House, 16 White Friars</t>
  </si>
  <si>
    <t>Chester</t>
  </si>
  <si>
    <t>CH1 1NZ</t>
  </si>
  <si>
    <t>darlene.storrar@storrarcowdry.co.uk</t>
  </si>
  <si>
    <t>Montpellier Legal Ltd</t>
  </si>
  <si>
    <t>Unit 13A, The Brewery Quarter, Henrietta Street</t>
  </si>
  <si>
    <t>GL50 4FA</t>
  </si>
  <si>
    <t>lmsmortgages@montpellier.legal</t>
  </si>
  <si>
    <t>Quedgeley</t>
  </si>
  <si>
    <t>Kestrel Court,</t>
  </si>
  <si>
    <t xml:space="preserve">Waterwells Drive, </t>
  </si>
  <si>
    <t>GL2 2AT</t>
  </si>
  <si>
    <t>Stroud</t>
  </si>
  <si>
    <t>Office A,</t>
  </si>
  <si>
    <t>Five Valleys Shopping Centre,</t>
  </si>
  <si>
    <t>GL5  1RR</t>
  </si>
  <si>
    <t>Cirencester</t>
  </si>
  <si>
    <t>3A The Wool Market</t>
  </si>
  <si>
    <t>GL7 2PR</t>
  </si>
  <si>
    <t>lmsmortgages@montpellier.lega</t>
  </si>
  <si>
    <t xml:space="preserve">The Wallace Room, Vinegar House, </t>
  </si>
  <si>
    <t>39 Foregate Street</t>
  </si>
  <si>
    <t>WR1 1DJ</t>
  </si>
  <si>
    <t>Room 104, Cambridge House</t>
  </si>
  <si>
    <t>South Block, Henry Street</t>
  </si>
  <si>
    <t>Somerset</t>
  </si>
  <si>
    <t>BA1 1BT</t>
  </si>
  <si>
    <t>Tewkesbury</t>
  </si>
  <si>
    <t>17 Miller Court</t>
  </si>
  <si>
    <t>Severn Drive, Tewkesbury</t>
  </si>
  <si>
    <t>GL20 8DN</t>
  </si>
  <si>
    <t>Hardcastle Williams</t>
  </si>
  <si>
    <t>Sheep Street</t>
  </si>
  <si>
    <t>Stow On The Wold</t>
  </si>
  <si>
    <t>GL54 1AA</t>
  </si>
  <si>
    <t>Berkeley Square House</t>
  </si>
  <si>
    <t>Berkeley Square</t>
  </si>
  <si>
    <t>W1J 6BD</t>
  </si>
  <si>
    <t>322 Arding &amp; Hobbs, 7 St John's Road</t>
  </si>
  <si>
    <t>SW11 1QN</t>
  </si>
  <si>
    <t>The Partnership (2009) Limited</t>
  </si>
  <si>
    <t>Artillery House, 71-73 Woodbridge Road</t>
  </si>
  <si>
    <t>Guildford</t>
  </si>
  <si>
    <t>GU1 4QH</t>
  </si>
  <si>
    <t>mortgageoffers@thepartnership.legal</t>
  </si>
  <si>
    <t>1 Westminster Bridge Road</t>
  </si>
  <si>
    <t xml:space="preserve">London  </t>
  </si>
  <si>
    <t>City of London</t>
  </si>
  <si>
    <t>SE1 7XW</t>
  </si>
  <si>
    <t>A H Brooks Solicitors Limited</t>
  </si>
  <si>
    <t>Derby House, Derby Street</t>
  </si>
  <si>
    <t>Leek</t>
  </si>
  <si>
    <t>ST13 6JG</t>
  </si>
  <si>
    <t>leepointon@ahbrooks.co.uk</t>
  </si>
  <si>
    <t>Cheadle</t>
  </si>
  <si>
    <t>Central Buildings</t>
  </si>
  <si>
    <t>High Street</t>
  </si>
  <si>
    <t>Cheadle, Stoke-on-Trent</t>
  </si>
  <si>
    <t>ST10 1AR</t>
  </si>
  <si>
    <t>lawyers@ahbrooks.co.uk</t>
  </si>
  <si>
    <t>Green Wright Chalton Annis</t>
  </si>
  <si>
    <t>62 High Street</t>
  </si>
  <si>
    <t>Steyning</t>
  </si>
  <si>
    <t>West Sussex</t>
  </si>
  <si>
    <t>BN44 3RD</t>
  </si>
  <si>
    <t>emma.chatwell@gwca.co.uk</t>
  </si>
  <si>
    <t>Worthing</t>
  </si>
  <si>
    <t>13/14 Liverpool Terrace</t>
  </si>
  <si>
    <t>BN11 1TQ</t>
  </si>
  <si>
    <t>worthing@gwca.co.uk</t>
  </si>
  <si>
    <t>Arundel</t>
  </si>
  <si>
    <t>The Estate Office, London Road</t>
  </si>
  <si>
    <t>BN18 9AS</t>
  </si>
  <si>
    <t>arundel@gwca.co.uk</t>
  </si>
  <si>
    <t>Rustington</t>
  </si>
  <si>
    <t>Churchill Court,112 The Street</t>
  </si>
  <si>
    <t>Littlehampton</t>
  </si>
  <si>
    <t>BN16 3DA</t>
  </si>
  <si>
    <t>rustington@gwca.co.uk</t>
  </si>
  <si>
    <t>Hove</t>
  </si>
  <si>
    <t>29 Boundary Road</t>
  </si>
  <si>
    <t>East Sussex</t>
  </si>
  <si>
    <t>BN3 4EF</t>
  </si>
  <si>
    <t>hove@gwca.co.uk</t>
  </si>
  <si>
    <t>Lancing</t>
  </si>
  <si>
    <t>47 North Road</t>
  </si>
  <si>
    <t>BN15 9AS</t>
  </si>
  <si>
    <t>lancing@gwca.co.uk</t>
  </si>
  <si>
    <t>Goring by Sea</t>
  </si>
  <si>
    <t>4/5 Aldsworth Parade</t>
  </si>
  <si>
    <t>BN12 4UA</t>
  </si>
  <si>
    <t>goring@gwca.co.uk</t>
  </si>
  <si>
    <t>72-76 Broadwater Street West</t>
  </si>
  <si>
    <t>BN14 9DH</t>
  </si>
  <si>
    <t>broadwater@gwca.co.uk</t>
  </si>
  <si>
    <t>Cripps LLP</t>
  </si>
  <si>
    <t>Number 22 Mount Ephraim</t>
  </si>
  <si>
    <t>Tunbridge Wells</t>
  </si>
  <si>
    <t>TN4 8AS</t>
  </si>
  <si>
    <t>Rebecca.hughes@cripps.co.uk</t>
  </si>
  <si>
    <t>80 Victoria Street</t>
  </si>
  <si>
    <t>SW1E 5JL</t>
  </si>
  <si>
    <t>Horsham</t>
  </si>
  <si>
    <t>Premier House, 36-48 Queen Street</t>
  </si>
  <si>
    <t>RH13 5AD</t>
  </si>
  <si>
    <t>Kitson Boyce LLP</t>
  </si>
  <si>
    <t>Minerva House, Orchard Way</t>
  </si>
  <si>
    <t>Edginswell Park</t>
  </si>
  <si>
    <t>TQ2 7FA</t>
  </si>
  <si>
    <t>jenna.hp@kitsons-solicitors.co.uk</t>
  </si>
  <si>
    <t>Exeter</t>
  </si>
  <si>
    <t>Balliol House, Southernhay Gardens</t>
  </si>
  <si>
    <t>EX1 1NP</t>
  </si>
  <si>
    <t>Plymouth</t>
  </si>
  <si>
    <t>Ashleigh Way</t>
  </si>
  <si>
    <t>Langage Business Park</t>
  </si>
  <si>
    <t>Plympton, Plymouth</t>
  </si>
  <si>
    <t>PL7 5JX</t>
  </si>
  <si>
    <t>The Senate</t>
  </si>
  <si>
    <t>Southernhay Gardens</t>
  </si>
  <si>
    <t>EX1 1UG</t>
  </si>
  <si>
    <t>advice@kitsonboyce.co.uk</t>
  </si>
  <si>
    <t>Eden &amp; Co Solicitors Ltd</t>
  </si>
  <si>
    <t>26 Oxford Court</t>
  </si>
  <si>
    <t>MANCHESTER</t>
  </si>
  <si>
    <t>M2 3WQ</t>
  </si>
  <si>
    <t>josh.brackup@edenandco.com</t>
  </si>
  <si>
    <t>Hawker Jones Solicitors Ltd</t>
  </si>
  <si>
    <t>3 Caxton Road</t>
  </si>
  <si>
    <t xml:space="preserve">Preston </t>
  </si>
  <si>
    <t xml:space="preserve">Lancashire </t>
  </si>
  <si>
    <t>PR2 9ZZ</t>
  </si>
  <si>
    <t>Rosan.Ali@hawkerjones.co.uk</t>
  </si>
  <si>
    <t xml:space="preserve">Parfitt Cresswell Limited </t>
  </si>
  <si>
    <t>4a Kingfisher Court</t>
  </si>
  <si>
    <t xml:space="preserve">Bellbrook Industrial Estate </t>
  </si>
  <si>
    <t>Uckfield</t>
  </si>
  <si>
    <t>TN22 1QQ</t>
  </si>
  <si>
    <t>enquiries@parfittcresswell.com</t>
  </si>
  <si>
    <t>Paddockhall Chambers</t>
  </si>
  <si>
    <t>Paddockhall Road</t>
  </si>
  <si>
    <t>Haywards Heath</t>
  </si>
  <si>
    <t>RH16 1HF</t>
  </si>
  <si>
    <t>chris.lloyd@parfittcresswell.com</t>
  </si>
  <si>
    <t>The Keep, 17-21 Victoria Street</t>
  </si>
  <si>
    <t>Windsor</t>
  </si>
  <si>
    <t>SL4 1HE</t>
  </si>
  <si>
    <t>11 High Street</t>
  </si>
  <si>
    <t>Edenbridge</t>
  </si>
  <si>
    <t>TN8 5AB</t>
  </si>
  <si>
    <t>5-6 Chancery House, St Nicholas Way</t>
  </si>
  <si>
    <t>Sutton</t>
  </si>
  <si>
    <t>SM1 1JB</t>
  </si>
  <si>
    <t>Curzon House, 24 High Street</t>
  </si>
  <si>
    <t>Banstead</t>
  </si>
  <si>
    <t>SM7 2LJ</t>
  </si>
  <si>
    <t>14a Cross Street</t>
  </si>
  <si>
    <t>RG1 1SN</t>
  </si>
  <si>
    <t>HSR Law Limited</t>
  </si>
  <si>
    <t>Altum House, Heavens Walk</t>
  </si>
  <si>
    <t>DN4 5HZ</t>
  </si>
  <si>
    <t>info@hsrlaw.co.uk</t>
  </si>
  <si>
    <t>Staynor House, Newborn Court, Chapel Street</t>
  </si>
  <si>
    <t>Epworth</t>
  </si>
  <si>
    <t>DN9 1HH</t>
  </si>
  <si>
    <t>alan.marlow@hsrlaw.co.uk</t>
  </si>
  <si>
    <t>26/26a Hickman Street</t>
  </si>
  <si>
    <t xml:space="preserve">Gainsborough </t>
  </si>
  <si>
    <t>DN21 2DZ</t>
  </si>
  <si>
    <t>ryan.morgan@hsrlaw.co.uk</t>
  </si>
  <si>
    <t>5-9 West Street</t>
  </si>
  <si>
    <t>Mexborough</t>
  </si>
  <si>
    <t>S64 9HZ</t>
  </si>
  <si>
    <t>Hethertons Solicitors Limited</t>
  </si>
  <si>
    <t>Tudor Court, Opus Avenue</t>
  </si>
  <si>
    <t>York Business Park,Nether Poppleton</t>
  </si>
  <si>
    <t>York</t>
  </si>
  <si>
    <t>North Yorkshire</t>
  </si>
  <si>
    <t>YO26 6RS</t>
  </si>
  <si>
    <t>pr@hethertons.co.uk</t>
  </si>
  <si>
    <t>Boroughbridge</t>
  </si>
  <si>
    <t>St James' Square</t>
  </si>
  <si>
    <t>YO51 9AR</t>
  </si>
  <si>
    <t>Jackson Quinn</t>
  </si>
  <si>
    <t>11 Watson Road</t>
  </si>
  <si>
    <t>Worksop</t>
  </si>
  <si>
    <t>S80 2BA</t>
  </si>
  <si>
    <t>d.woodhead@jacksonquinn.com</t>
  </si>
  <si>
    <t>Retford</t>
  </si>
  <si>
    <t>7 Grove Street</t>
  </si>
  <si>
    <t>DN22 6NN</t>
  </si>
  <si>
    <t>Ground Floor Queen's Offices, 2 Arkwright Street</t>
  </si>
  <si>
    <t>NG2 2GD</t>
  </si>
  <si>
    <t>Tayntons (LS) Limited</t>
  </si>
  <si>
    <t>5th Floor, Llanthony Warehouse</t>
  </si>
  <si>
    <t>The Docks</t>
  </si>
  <si>
    <t>GL1 2EH</t>
  </si>
  <si>
    <t>conveyancing@tayntons.co.uk</t>
  </si>
  <si>
    <t>Poole Alcock LLP</t>
  </si>
  <si>
    <t>2a Lawton Road</t>
  </si>
  <si>
    <t>Alsager</t>
  </si>
  <si>
    <t>ST7 2BJ</t>
  </si>
  <si>
    <t>panels@poolealcock.co.uk</t>
  </si>
  <si>
    <t>The Dowery, 22 Barker Street</t>
  </si>
  <si>
    <t>CW5 5TE</t>
  </si>
  <si>
    <t>Riverside</t>
  </si>
  <si>
    <t>Mountbatten Way</t>
  </si>
  <si>
    <t>Congleton</t>
  </si>
  <si>
    <t>CW12 1DY</t>
  </si>
  <si>
    <t>6 Middlewich Road</t>
  </si>
  <si>
    <t>Sandbach</t>
  </si>
  <si>
    <t>CW11 1DL</t>
  </si>
  <si>
    <t>222-224 Nantwich Road</t>
  </si>
  <si>
    <t>CW2 6BP</t>
  </si>
  <si>
    <t>Poplar House, 12 Manchester Road</t>
  </si>
  <si>
    <t>Wilmslow</t>
  </si>
  <si>
    <t>SK9 1BG</t>
  </si>
  <si>
    <t>Minerva House, Gadbrook Way</t>
  </si>
  <si>
    <t>Gadbrook Park, Rudheath</t>
  </si>
  <si>
    <t>Northwich</t>
  </si>
  <si>
    <t>CW9 7RA</t>
  </si>
  <si>
    <t xml:space="preserve">Oliver and Co Solicitors Ltd </t>
  </si>
  <si>
    <t>Douglas House, 117 Foregate Street</t>
  </si>
  <si>
    <t xml:space="preserve">Chester </t>
  </si>
  <si>
    <t xml:space="preserve">Cheshire </t>
  </si>
  <si>
    <t>CH1 1HE</t>
  </si>
  <si>
    <t>kay.cook@oliverandco.co.uk</t>
  </si>
  <si>
    <t>Elliott James Legal Ltd</t>
  </si>
  <si>
    <t xml:space="preserve">Gloucester House, 72 Church Road </t>
  </si>
  <si>
    <t>Stockton on Tees</t>
  </si>
  <si>
    <t>Stockton-On-Tees</t>
  </si>
  <si>
    <t>TS18 1TW</t>
  </si>
  <si>
    <t>berni@elliottjameslegal.co.uk</t>
  </si>
  <si>
    <t xml:space="preserve">Wibsey </t>
  </si>
  <si>
    <t>233 High Street</t>
  </si>
  <si>
    <t>Bradford</t>
  </si>
  <si>
    <t>BD6 1QR</t>
  </si>
  <si>
    <t>debbie@elliottjameslegal.co.uk</t>
  </si>
  <si>
    <t>Wetherby</t>
  </si>
  <si>
    <t>Office 9, Parkhill Business Centre</t>
  </si>
  <si>
    <t>Walton Road</t>
  </si>
  <si>
    <t xml:space="preserve">Wetherby </t>
  </si>
  <si>
    <t>LS22 5DZ</t>
  </si>
  <si>
    <t>michael@elliottjameslegal.co.uk</t>
  </si>
  <si>
    <t xml:space="preserve">Sunderland </t>
  </si>
  <si>
    <t xml:space="preserve">Alliance House, </t>
  </si>
  <si>
    <t>20 Fawcett Street</t>
  </si>
  <si>
    <t>SR1 1RZ</t>
  </si>
  <si>
    <t>info@hedleys1880.co.uk</t>
  </si>
  <si>
    <t>Elite Conveyancing Limited</t>
  </si>
  <si>
    <t>5 Mill Yard</t>
  </si>
  <si>
    <t>Childerley Estates</t>
  </si>
  <si>
    <t>Dry Drayton</t>
  </si>
  <si>
    <t>Cambridge, Cambridgeshire</t>
  </si>
  <si>
    <t>CB23 8BA</t>
  </si>
  <si>
    <t>hayley@elite-conveyancing.com</t>
  </si>
  <si>
    <t>Goughs Lawyers LLP</t>
  </si>
  <si>
    <t>5 Bath Road</t>
  </si>
  <si>
    <t>Melksham</t>
  </si>
  <si>
    <t xml:space="preserve">Wiltshire </t>
  </si>
  <si>
    <t>SN12 6LN</t>
  </si>
  <si>
    <t>lesleywarren@goughs.co.uk</t>
  </si>
  <si>
    <t>Calne</t>
  </si>
  <si>
    <t>The Strand</t>
  </si>
  <si>
    <t>Wiltshire</t>
  </si>
  <si>
    <t>SN11 0JU</t>
  </si>
  <si>
    <t>Chippenham</t>
  </si>
  <si>
    <t>Mill House</t>
  </si>
  <si>
    <t>1 New Road</t>
  </si>
  <si>
    <t>SN15 1EJ</t>
  </si>
  <si>
    <t>Corsham</t>
  </si>
  <si>
    <t>23 Pickwick Road</t>
  </si>
  <si>
    <t>SN13 9BH</t>
  </si>
  <si>
    <t>Devizes</t>
  </si>
  <si>
    <t>Ramsbury House</t>
  </si>
  <si>
    <t>30 Market Place</t>
  </si>
  <si>
    <t>SN10 1JG</t>
  </si>
  <si>
    <t>Trowbridge</t>
  </si>
  <si>
    <t>2 Fore Street</t>
  </si>
  <si>
    <t>BA14 8HX</t>
  </si>
  <si>
    <t>Unit 5, Greenways Business Park</t>
  </si>
  <si>
    <t>Bellinger Close</t>
  </si>
  <si>
    <t>SN15 1BN</t>
  </si>
  <si>
    <t>Salehs LLP</t>
  </si>
  <si>
    <t>Didsbury House, 748 Wilmslow Road</t>
  </si>
  <si>
    <t>Didsbury</t>
  </si>
  <si>
    <t>M20 2DW</t>
  </si>
  <si>
    <t>jsk@salehs.co.uk</t>
  </si>
  <si>
    <t xml:space="preserve">Yellow Conveyancing Limited </t>
  </si>
  <si>
    <t xml:space="preserve">Unit 35 Apex Business Village </t>
  </si>
  <si>
    <t xml:space="preserve">Cramlington </t>
  </si>
  <si>
    <t>Northumberland</t>
  </si>
  <si>
    <t>NE23 7BF</t>
  </si>
  <si>
    <t>Hello@yellowlegal.co.uk</t>
  </si>
  <si>
    <t>Rhodda &amp; Co LLP</t>
  </si>
  <si>
    <t>63-65 Station Road</t>
  </si>
  <si>
    <t xml:space="preserve">Clacton on Sea </t>
  </si>
  <si>
    <t>Essex</t>
  </si>
  <si>
    <t>CO15 1SD</t>
  </si>
  <si>
    <t>emma.warren@rhodda.co.uk</t>
  </si>
  <si>
    <t>Hatch Brenner LLP</t>
  </si>
  <si>
    <t>4 Theatre Street</t>
  </si>
  <si>
    <t>Norwich</t>
  </si>
  <si>
    <t>Norfolk</t>
  </si>
  <si>
    <t>NR2 1QY</t>
  </si>
  <si>
    <t>LizzyPhillips@hatchbrenner.co.uk</t>
  </si>
  <si>
    <t>Gordons Property Lawyers Limited</t>
  </si>
  <si>
    <t>S C House, Vanwall Road</t>
  </si>
  <si>
    <t>Maidenhead</t>
  </si>
  <si>
    <t>SL6 4UW</t>
  </si>
  <si>
    <t>Lhigley@gplawyers.co.uk</t>
  </si>
  <si>
    <t>Harvey Baker Limited</t>
  </si>
  <si>
    <t>Ty Antur</t>
  </si>
  <si>
    <t>Navigation Park</t>
  </si>
  <si>
    <t>Abercynon</t>
  </si>
  <si>
    <t>RCT</t>
  </si>
  <si>
    <t>CF45 4SN</t>
  </si>
  <si>
    <t>info@harveybaker.co.uk</t>
  </si>
  <si>
    <t>Mercers Law LLP</t>
  </si>
  <si>
    <t>50 New Street</t>
  </si>
  <si>
    <t>Henley-on-Thames</t>
  </si>
  <si>
    <t>Oxfordshire</t>
  </si>
  <si>
    <t>RG9 2BX</t>
  </si>
  <si>
    <t>TWestenbrink@mercerslaw.co.uk</t>
  </si>
  <si>
    <t>AFG Law Limited</t>
  </si>
  <si>
    <t>First Floor, Regent House</t>
  </si>
  <si>
    <t>Folds Road</t>
  </si>
  <si>
    <t>Bolton</t>
  </si>
  <si>
    <t>BL1 2RZ</t>
  </si>
  <si>
    <t>carl.fletcher@afglaw.co.uk</t>
  </si>
  <si>
    <t>14a Market Street</t>
  </si>
  <si>
    <t>Bury</t>
  </si>
  <si>
    <t>BL9 0AJ</t>
  </si>
  <si>
    <t>Rich &amp; Carr Limited</t>
  </si>
  <si>
    <t>24 Rutland Street</t>
  </si>
  <si>
    <t>Leicester</t>
  </si>
  <si>
    <t>Leicestershire</t>
  </si>
  <si>
    <t>LE1 1RD</t>
  </si>
  <si>
    <t>jbarr@richandcarr.co.uk</t>
  </si>
  <si>
    <t>Blaby</t>
  </si>
  <si>
    <t>7 Lutterworth Road</t>
  </si>
  <si>
    <t>LE8 4DW</t>
  </si>
  <si>
    <t>Birstall</t>
  </si>
  <si>
    <t>9 Sibson Road</t>
  </si>
  <si>
    <t>LE4 4DX</t>
  </si>
  <si>
    <t>mpayne@richandcarr.co.uk</t>
  </si>
  <si>
    <t>Syston</t>
  </si>
  <si>
    <t xml:space="preserve">1172 Melton Road </t>
  </si>
  <si>
    <t>LE7 2HB</t>
  </si>
  <si>
    <t>ijurgaityte@richandcarr.co.uk</t>
  </si>
  <si>
    <t>Oadby</t>
  </si>
  <si>
    <t>22 The Parade</t>
  </si>
  <si>
    <t>LE2 5BF</t>
  </si>
  <si>
    <t>msandhu@richandcarr.co.uk</t>
  </si>
  <si>
    <t>Lutterworth</t>
  </si>
  <si>
    <t>10-10a Station Road</t>
  </si>
  <si>
    <t>LE17 4AP</t>
  </si>
  <si>
    <t>faltaf@richandcarr.co.uk</t>
  </si>
  <si>
    <t>360 Law Services Limited</t>
  </si>
  <si>
    <t>39 Guildford Road</t>
  </si>
  <si>
    <t>Lightwater</t>
  </si>
  <si>
    <t>GU18 5SA</t>
  </si>
  <si>
    <t>conveyancing@360lawservices.com</t>
  </si>
  <si>
    <t>MCT Solicitors Ltd</t>
  </si>
  <si>
    <t>Suite 1, Charter House, Courtlands Road</t>
  </si>
  <si>
    <t>BN22 8UY</t>
  </si>
  <si>
    <t>mct@mctsolicitors.co.uk</t>
  </si>
  <si>
    <t>Acklam Bond Limited</t>
  </si>
  <si>
    <t>Equity Chambers, 10-12 St James Street</t>
  </si>
  <si>
    <t>Accrington</t>
  </si>
  <si>
    <t>BB5 1LY</t>
  </si>
  <si>
    <t>julie@acklambond.co.uk</t>
  </si>
  <si>
    <t xml:space="preserve">Taylor Fawcett Limited </t>
  </si>
  <si>
    <t>14 Albert Street</t>
  </si>
  <si>
    <t xml:space="preserve">Harrogate </t>
  </si>
  <si>
    <t xml:space="preserve">North Yorkshire </t>
  </si>
  <si>
    <t>HG1 1JT</t>
  </si>
  <si>
    <t>clare@taylorfawcett.co.uk</t>
  </si>
  <si>
    <t>MS Law LLP</t>
  </si>
  <si>
    <t>383 Bury New Road</t>
  </si>
  <si>
    <t>Prestwich</t>
  </si>
  <si>
    <t xml:space="preserve">Manchester, </t>
  </si>
  <si>
    <t xml:space="preserve">Lancashire, </t>
  </si>
  <si>
    <t>M25 1AW</t>
  </si>
  <si>
    <t>abrown@ms-law.co.uk</t>
  </si>
  <si>
    <t>Eden Conveyancing Limited</t>
  </si>
  <si>
    <t>Unit 7.19 Paintworks, Bath Road</t>
  </si>
  <si>
    <t>BS4 3EA</t>
  </si>
  <si>
    <t>katrina.lamont@edenconveyancing.com</t>
  </si>
  <si>
    <t>WENBORNE WELLER &amp; SPOONER LIMITED</t>
  </si>
  <si>
    <t xml:space="preserve">84 Broadway </t>
  </si>
  <si>
    <t>Leigh-On-Sea</t>
  </si>
  <si>
    <t>SS9 1AE</t>
  </si>
  <si>
    <t>enquiries@wenbornewellerspooner.com</t>
  </si>
  <si>
    <t>Barker Booth &amp; Eastwood Limited</t>
  </si>
  <si>
    <t>346 Lytham Road</t>
  </si>
  <si>
    <t>Blackpool</t>
  </si>
  <si>
    <t>FY4 1DW</t>
  </si>
  <si>
    <t>jw@bbelaw.co.uk</t>
  </si>
  <si>
    <t>Tennant Mickleburgh Solicitors</t>
  </si>
  <si>
    <t>The Union Building</t>
  </si>
  <si>
    <t>51-59 Rose Lane</t>
  </si>
  <si>
    <t>NR1 1BY</t>
  </si>
  <si>
    <t>jknight@tennantmickleburgh.com</t>
  </si>
  <si>
    <t>Phillips Solicitors Limited</t>
  </si>
  <si>
    <t>Town Gate, 38 London Street</t>
  </si>
  <si>
    <t xml:space="preserve">Basingstoke </t>
  </si>
  <si>
    <t xml:space="preserve">Hampshire </t>
  </si>
  <si>
    <t>RG21 7NY</t>
  </si>
  <si>
    <t>hayley.eachus@phillips-law.co.uk</t>
  </si>
  <si>
    <t>Farnborough</t>
  </si>
  <si>
    <t>43-45 Victoria Road</t>
  </si>
  <si>
    <t>GU14 7PD</t>
  </si>
  <si>
    <t>law@dbande.co.uk</t>
  </si>
  <si>
    <t>Yateley</t>
  </si>
  <si>
    <t>68A Reading Road</t>
  </si>
  <si>
    <t>GU46 7UJ</t>
  </si>
  <si>
    <t>yateley@dbande.co.uk</t>
  </si>
  <si>
    <t>Eric Robinson Solicitors</t>
  </si>
  <si>
    <t>Vanbrugh House, Grange Drive</t>
  </si>
  <si>
    <t>Hedge End</t>
  </si>
  <si>
    <t>SO30 2AF</t>
  </si>
  <si>
    <t>ben.upward@ericrobinson.co.uk</t>
  </si>
  <si>
    <t>Bitterne</t>
  </si>
  <si>
    <t>359 Bitterne Road</t>
  </si>
  <si>
    <t>SO18 1DN</t>
  </si>
  <si>
    <t>Chandlers Ford</t>
  </si>
  <si>
    <t>6-8 Brownhill Road</t>
  </si>
  <si>
    <t>SO53 2EA</t>
  </si>
  <si>
    <t>Winchester</t>
  </si>
  <si>
    <t>Madoc House, 27C Southgate Street</t>
  </si>
  <si>
    <t>SO23 9EB</t>
  </si>
  <si>
    <t>Lymington</t>
  </si>
  <si>
    <t>Heathcote House, 37 St Thomas Street</t>
  </si>
  <si>
    <t>SO41 9NE</t>
  </si>
  <si>
    <t>Richmond</t>
  </si>
  <si>
    <t>4 The Square</t>
  </si>
  <si>
    <t>Richmond Upon Thames</t>
  </si>
  <si>
    <t>TW9 1DZ</t>
  </si>
  <si>
    <t xml:space="preserve">Shoreham-By-Sea </t>
  </si>
  <si>
    <t>23-25 High Street</t>
  </si>
  <si>
    <t>BN43 5EE</t>
  </si>
  <si>
    <t>Marlborough</t>
  </si>
  <si>
    <t>Hughenden House, 107 High Street</t>
  </si>
  <si>
    <t>SN8 1LN</t>
  </si>
  <si>
    <t>enquiries@ericrobinson.co.uk</t>
  </si>
  <si>
    <t>HNW Law Ltd</t>
  </si>
  <si>
    <t>Unit 17, The Cadcam Centre, High Force Road</t>
  </si>
  <si>
    <t>Riverside Park Industrial Estate,</t>
  </si>
  <si>
    <t>TS2 1RH</t>
  </si>
  <si>
    <t>info@hnwlaw.co.uk</t>
  </si>
  <si>
    <t>MSB Solicitors Limited</t>
  </si>
  <si>
    <t>4 St. Pauls Square</t>
  </si>
  <si>
    <t>Liverpool</t>
  </si>
  <si>
    <t>Merseyside</t>
  </si>
  <si>
    <t>L3 9SJ</t>
  </si>
  <si>
    <t>bradarmstrong@msbsolicitors.co.uk</t>
  </si>
  <si>
    <t>Latham &amp; Co</t>
  </si>
  <si>
    <t>15 High Street</t>
  </si>
  <si>
    <t>Melton Mowbray</t>
  </si>
  <si>
    <t>LE13 0TX</t>
  </si>
  <si>
    <t>nellychipman@lathamlawyers.co.uk</t>
  </si>
  <si>
    <t>Charnwood House, 2 &amp; 4 Forest Road</t>
  </si>
  <si>
    <t>Loughborough</t>
  </si>
  <si>
    <t>LE11 3NP</t>
  </si>
  <si>
    <t>mailbox@lathamlawyers.co.uk</t>
  </si>
  <si>
    <t>Ashley Wilson Solicitors LLP</t>
  </si>
  <si>
    <t>Winchester Stables, 18 Winchester Walk,</t>
  </si>
  <si>
    <t>London Bridge</t>
  </si>
  <si>
    <t>SE1 9AG</t>
  </si>
  <si>
    <t>twilson@ashleywilson.co.uk</t>
  </si>
  <si>
    <t>Ewart Price</t>
  </si>
  <si>
    <t>1st Floor</t>
  </si>
  <si>
    <t>16-18 Church Road</t>
  </si>
  <si>
    <t>Welwyn Garden City</t>
  </si>
  <si>
    <t>AL8 6PS</t>
  </si>
  <si>
    <t>info@ewartprice.com</t>
  </si>
  <si>
    <t>Medlock Solicitors Limited</t>
  </si>
  <si>
    <t>6 Oldham Road</t>
  </si>
  <si>
    <t>M4 5DB</t>
  </si>
  <si>
    <t>gsingh@medlocklaw.co.uk</t>
  </si>
  <si>
    <t>Owen Paulo Legal Limited</t>
  </si>
  <si>
    <t>First Floor, Brook House, Reeves Way</t>
  </si>
  <si>
    <t>Whitstable</t>
  </si>
  <si>
    <t>CT5 3SS</t>
  </si>
  <si>
    <t>tom.love@owenpaulo.co.uk</t>
  </si>
  <si>
    <t xml:space="preserve">Shared Direction Conveyancing Limited </t>
  </si>
  <si>
    <t>Suite 3 Orchard House, Orchard Street</t>
  </si>
  <si>
    <t>Canterbury</t>
  </si>
  <si>
    <t>CT2 8AJ</t>
  </si>
  <si>
    <t>Andrew.Theoff@sdc-legal.co.uk</t>
  </si>
  <si>
    <t>32 Chamberlain Street</t>
  </si>
  <si>
    <t xml:space="preserve">Wells </t>
  </si>
  <si>
    <t xml:space="preserve"> </t>
  </si>
  <si>
    <t>BA5 2PJ</t>
  </si>
  <si>
    <t>wayne.mr@directionlaw.co.uk</t>
  </si>
  <si>
    <t>6th Floor, Lombard House,</t>
  </si>
  <si>
    <t>145 Great Charles Street,</t>
  </si>
  <si>
    <t xml:space="preserve">Birmingham </t>
  </si>
  <si>
    <t>B3 3LP</t>
  </si>
  <si>
    <t>Prakash.Sookun@sdc-legal.co.uk</t>
  </si>
  <si>
    <t>Fraser Dawbarns LLP</t>
  </si>
  <si>
    <t>29 London Road</t>
  </si>
  <si>
    <t>Downham Market</t>
  </si>
  <si>
    <t>PE38 9AS</t>
  </si>
  <si>
    <t>kelly-annemcguinness@fraserdawbarns.com</t>
  </si>
  <si>
    <t>1-3 York Row</t>
  </si>
  <si>
    <t>Wisbech</t>
  </si>
  <si>
    <t>PE13 1EA</t>
  </si>
  <si>
    <t>21 Tuesday Market Place</t>
  </si>
  <si>
    <t>Kings Lynn</t>
  </si>
  <si>
    <t>PE30 1JW</t>
  </si>
  <si>
    <t>March</t>
  </si>
  <si>
    <t>PE15 9LD</t>
  </si>
  <si>
    <t>Myriad House, 7 Bartholomews Walk</t>
  </si>
  <si>
    <t>Ely</t>
  </si>
  <si>
    <t>CB7 4EA</t>
  </si>
  <si>
    <t>info@fraserdawbarns.com</t>
  </si>
  <si>
    <t>Child &amp; Child Law Limited</t>
  </si>
  <si>
    <t>15 Adam Street</t>
  </si>
  <si>
    <t>WC2N 6AH</t>
  </si>
  <si>
    <t>robertbiles@childandchild.co.uk</t>
  </si>
  <si>
    <t>Wolferstans LLP</t>
  </si>
  <si>
    <t>60-66 North Hill</t>
  </si>
  <si>
    <t>PL4 8EP</t>
  </si>
  <si>
    <t>postcompletionteam@wolferstans.com</t>
  </si>
  <si>
    <t>85-89 Ridgeway</t>
  </si>
  <si>
    <t>Plympton</t>
  </si>
  <si>
    <t>PL7 2AA</t>
  </si>
  <si>
    <t>Humfrys &amp; Symonds Ltd</t>
  </si>
  <si>
    <t>1 St John Street</t>
  </si>
  <si>
    <t>Hereford</t>
  </si>
  <si>
    <t>Herefordshire</t>
  </si>
  <si>
    <t>HR1 2ND</t>
  </si>
  <si>
    <t>andrew.johnson@humfrys-symonds.co.uk</t>
  </si>
  <si>
    <t>Sherrards Solicitors LLP</t>
  </si>
  <si>
    <t>First Floor, 4 Beaconsfield Road</t>
  </si>
  <si>
    <t>AL1 3RD</t>
  </si>
  <si>
    <t>samantha.orsborne@sherrards.com</t>
  </si>
  <si>
    <t>1-3 Pemberton Row</t>
  </si>
  <si>
    <t>EC4A 3BG</t>
  </si>
  <si>
    <t>Lightfoots LLP</t>
  </si>
  <si>
    <t>1-3 High Street</t>
  </si>
  <si>
    <t>Thame</t>
  </si>
  <si>
    <t>OX9 2BX</t>
  </si>
  <si>
    <t>cbiggs@lightfoots.co.uk</t>
  </si>
  <si>
    <t>Unit 9 Goodsons Mews, Wellington Street</t>
  </si>
  <si>
    <t>OX9 3BX</t>
  </si>
  <si>
    <t>CBiggs@Lightfoots.co.uk</t>
  </si>
  <si>
    <t>Princes Risborough</t>
  </si>
  <si>
    <t>28 High Street</t>
  </si>
  <si>
    <t>Buckinghamshire</t>
  </si>
  <si>
    <t>HP27 0AX</t>
  </si>
  <si>
    <t>Oxford House</t>
  </si>
  <si>
    <t>Suite 3, First Floor, Oxford House</t>
  </si>
  <si>
    <t>OX9 2AH</t>
  </si>
  <si>
    <t>Marlow</t>
  </si>
  <si>
    <t>2 St Thomas House, Liston Road</t>
  </si>
  <si>
    <t>SL7 1DP</t>
  </si>
  <si>
    <t>marlow@lightfoots.co.uk</t>
  </si>
  <si>
    <t>Alecto Conveyancing Limited</t>
  </si>
  <si>
    <t>1 Mark Square</t>
  </si>
  <si>
    <t>EC2A 4EG</t>
  </si>
  <si>
    <t>autumn.cordingley@alectolegal.com</t>
  </si>
  <si>
    <t xml:space="preserve">Dilwyns Limited </t>
  </si>
  <si>
    <t>Oxford Chambers</t>
  </si>
  <si>
    <t>Temple Street</t>
  </si>
  <si>
    <t>Llandrindod Wells</t>
  </si>
  <si>
    <t>Powys</t>
  </si>
  <si>
    <t>LD1 5DL</t>
  </si>
  <si>
    <t>peter@dilwyns-solicitors.co.uk</t>
  </si>
  <si>
    <t>Oldham Marsh Page Flavell</t>
  </si>
  <si>
    <t>The White House, 19 High Street</t>
  </si>
  <si>
    <t>LE13 0TZ</t>
  </si>
  <si>
    <t>marks@ompf.co.uk</t>
  </si>
  <si>
    <t>Foys Solicitors</t>
  </si>
  <si>
    <t>Kingsgate House, Kingsgate</t>
  </si>
  <si>
    <t>Waterdale</t>
  </si>
  <si>
    <t>DN1 3JZ</t>
  </si>
  <si>
    <t>donna.norman@foys.co.uk</t>
  </si>
  <si>
    <t>120 Bridge Street</t>
  </si>
  <si>
    <t>S80 1HU</t>
  </si>
  <si>
    <t>Donna.Norman@foys.co.uk</t>
  </si>
  <si>
    <t>Chapeltown</t>
  </si>
  <si>
    <t>102/112 Burncross Road</t>
  </si>
  <si>
    <t>Sheffield</t>
  </si>
  <si>
    <t>S35 1TG</t>
  </si>
  <si>
    <t>Waterthorpe</t>
  </si>
  <si>
    <t>Drakehouse Crescent</t>
  </si>
  <si>
    <t>S20 7HT</t>
  </si>
  <si>
    <t>18 Grove Street</t>
  </si>
  <si>
    <t>DN22 6JS</t>
  </si>
  <si>
    <t>Clowne</t>
  </si>
  <si>
    <t>31 Mill Street</t>
  </si>
  <si>
    <t>Derbyshire</t>
  </si>
  <si>
    <t>S43 4JN</t>
  </si>
  <si>
    <t>steven.dixon@foys.co.uk</t>
  </si>
  <si>
    <t>CJCH Legal Ltd</t>
  </si>
  <si>
    <t>Williams House</t>
  </si>
  <si>
    <t>11-15 Columbus Walk</t>
  </si>
  <si>
    <t>CF10 4BY</t>
  </si>
  <si>
    <t>n.summers@cjch.co.uk</t>
  </si>
  <si>
    <t>18 DUNRAVEN PLACE</t>
  </si>
  <si>
    <t>Bridgend</t>
  </si>
  <si>
    <t>CF31 1JD</t>
  </si>
  <si>
    <t xml:space="preserve">183 High Street </t>
  </si>
  <si>
    <t>Blackwood</t>
  </si>
  <si>
    <t>NP12 1ZF</t>
  </si>
  <si>
    <t>17 Thompson Street,</t>
  </si>
  <si>
    <t>Barry</t>
  </si>
  <si>
    <t>CF63 4JL</t>
  </si>
  <si>
    <t>Caerphilly</t>
  </si>
  <si>
    <t>4A Market St</t>
  </si>
  <si>
    <t>CF83 1NX</t>
  </si>
  <si>
    <t>conveyancing@cjch.co.uk</t>
  </si>
  <si>
    <t>Swansea</t>
  </si>
  <si>
    <t>3 Walter Road</t>
  </si>
  <si>
    <t>SA1 5NE</t>
  </si>
  <si>
    <t>8 Broad Street</t>
  </si>
  <si>
    <t>CF62 7AA</t>
  </si>
  <si>
    <t>admin@cjch.co.uk</t>
  </si>
  <si>
    <t>T.L.J. Law Limited</t>
  </si>
  <si>
    <t>Guildhall Chambers, 2 Church Place</t>
  </si>
  <si>
    <t>Neath</t>
  </si>
  <si>
    <t xml:space="preserve">West Glamorgan </t>
  </si>
  <si>
    <t>SA11 3LL</t>
  </si>
  <si>
    <t>stephen.williams@tljlaw.co.uk</t>
  </si>
  <si>
    <t xml:space="preserve">22 Station Road </t>
  </si>
  <si>
    <t xml:space="preserve">Ystradgynlais </t>
  </si>
  <si>
    <t xml:space="preserve">Swansea </t>
  </si>
  <si>
    <t>West Glamorgan</t>
  </si>
  <si>
    <t>SA9 1NT</t>
  </si>
  <si>
    <t>elizabeth.parcell@tljlaw.co.uk</t>
  </si>
  <si>
    <t>Pinnacle Property Lawyers Ltd</t>
  </si>
  <si>
    <t>Carlisle Business Centre</t>
  </si>
  <si>
    <t>60 Carlisle Road</t>
  </si>
  <si>
    <t>BD8 8BD</t>
  </si>
  <si>
    <t>philip.harris@pinnacle.law</t>
  </si>
  <si>
    <t>1 King William Street</t>
  </si>
  <si>
    <t>EC4N 7BJ</t>
  </si>
  <si>
    <t>Thomson Webb &amp; Corfield LLP</t>
  </si>
  <si>
    <t>16 Union Road</t>
  </si>
  <si>
    <t>CB2 1HE</t>
  </si>
  <si>
    <t>enquiries@twclaw.co.uk</t>
  </si>
  <si>
    <t xml:space="preserve">22 High Street </t>
  </si>
  <si>
    <t>Histon</t>
  </si>
  <si>
    <t>CB24 9JD</t>
  </si>
  <si>
    <t>Moss Solicitors LLP</t>
  </si>
  <si>
    <t>80-81 Woodgate</t>
  </si>
  <si>
    <t>LE11 2XE</t>
  </si>
  <si>
    <t>m.rock@moss-solicitors.co.uk</t>
  </si>
  <si>
    <t>Bonsai Law Ltd</t>
  </si>
  <si>
    <t xml:space="preserve">The Business Terrace, Maidstone House </t>
  </si>
  <si>
    <t>King Street</t>
  </si>
  <si>
    <t>ME15 6JQ</t>
  </si>
  <si>
    <t>rebekah@bonsai.law</t>
  </si>
  <si>
    <t>Burgh Thorpe Limited</t>
  </si>
  <si>
    <t>Churchill House</t>
  </si>
  <si>
    <t>Isis Way, Minerva Business Park, Lynch Wood</t>
  </si>
  <si>
    <t>PE2 6QR</t>
  </si>
  <si>
    <t>lenderpanel@burghthorpe.co.uk</t>
  </si>
  <si>
    <t>Graham Withers &amp; Co incorporating Warren Upton and Garside</t>
  </si>
  <si>
    <t>Murivance House</t>
  </si>
  <si>
    <t xml:space="preserve">Town Walls </t>
  </si>
  <si>
    <t>Shrewsbury</t>
  </si>
  <si>
    <t>SY1 1JW</t>
  </si>
  <si>
    <t>jane.eardley@grahamwithers.co.uk</t>
  </si>
  <si>
    <t>46 Cheshire Street</t>
  </si>
  <si>
    <t>Market Drayton</t>
  </si>
  <si>
    <t>TF9 1PQ</t>
  </si>
  <si>
    <t>MH Solicitors LLP</t>
  </si>
  <si>
    <t>6-8 Tettenhall Road</t>
  </si>
  <si>
    <t>Wolverhampton</t>
  </si>
  <si>
    <t>WV1 4SA</t>
  </si>
  <si>
    <t>faisal@mhsolicitors.com</t>
  </si>
  <si>
    <t>O'Neill Patient Solicitors LLP</t>
  </si>
  <si>
    <t>Floors 2 And 3, 2 Stockport Exchange</t>
  </si>
  <si>
    <t>Railway Road</t>
  </si>
  <si>
    <t>Stockport</t>
  </si>
  <si>
    <t>SK1 3GG</t>
  </si>
  <si>
    <t>info@onpgroup.co.uk</t>
  </si>
  <si>
    <t>Hazel Grove</t>
  </si>
  <si>
    <t>Forever Legal Limited</t>
  </si>
  <si>
    <t>Lindley Court</t>
  </si>
  <si>
    <t>Scott Drive</t>
  </si>
  <si>
    <t xml:space="preserve">Altrincham </t>
  </si>
  <si>
    <t>WA15 8AB</t>
  </si>
  <si>
    <t>michael.harrison@foreverlegal.co.uk</t>
  </si>
  <si>
    <t>PO Box 950</t>
  </si>
  <si>
    <t>SK1 9EL</t>
  </si>
  <si>
    <t xml:space="preserve">South West Advocates Limited </t>
  </si>
  <si>
    <t>The Exchange, Express Park</t>
  </si>
  <si>
    <t>Bristol Road,</t>
  </si>
  <si>
    <t>Bridgwater</t>
  </si>
  <si>
    <t>TA6 4RR</t>
  </si>
  <si>
    <t>Michael.miller@pardoes.co.uk</t>
  </si>
  <si>
    <t>Taunton</t>
  </si>
  <si>
    <t>Suite A, Blackdown House</t>
  </si>
  <si>
    <t>Blackbrook Park Avenue</t>
  </si>
  <si>
    <t>TA1 2PX</t>
  </si>
  <si>
    <t>Yeovil</t>
  </si>
  <si>
    <t>The Old Post Office</t>
  </si>
  <si>
    <t>King George Street</t>
  </si>
  <si>
    <t>BA20 1PT</t>
  </si>
  <si>
    <t>ENQUIRIES@PARDOES.CO.UK</t>
  </si>
  <si>
    <t>Straw and Pearce Ltd</t>
  </si>
  <si>
    <t>18 Rectory Place</t>
  </si>
  <si>
    <t>LE11 1UU</t>
  </si>
  <si>
    <t>esharp@strawandpearce.co.uk</t>
  </si>
  <si>
    <t>Charnwood Suite, 12 The Crescent, King Street</t>
  </si>
  <si>
    <t xml:space="preserve">Leicester </t>
  </si>
  <si>
    <t>LE1 6RX</t>
  </si>
  <si>
    <t xml:space="preserve">info@strawandpearce.co.uk </t>
  </si>
  <si>
    <t>Chubb Bulleid Limited</t>
  </si>
  <si>
    <t>7 Market Place</t>
  </si>
  <si>
    <t>Wells</t>
  </si>
  <si>
    <t>BA5 2RJ</t>
  </si>
  <si>
    <t>amelia_canham@chubb-bulleid.co.uk</t>
  </si>
  <si>
    <t>Langler House, Market Place</t>
  </si>
  <si>
    <t>Somerton</t>
  </si>
  <si>
    <t>TA11 7LZ</t>
  </si>
  <si>
    <t>solicitors@chubb-bulleid.co.uk</t>
  </si>
  <si>
    <t>Strode House, 10 Leigh Road</t>
  </si>
  <si>
    <t>Street</t>
  </si>
  <si>
    <t>BA16 0HA</t>
  </si>
  <si>
    <t>Barretts Law Limited</t>
  </si>
  <si>
    <t>162 Queens Road</t>
  </si>
  <si>
    <t>Buckhurst Hill</t>
  </si>
  <si>
    <t>IG9 5BD</t>
  </si>
  <si>
    <t>mbarrett@barrettslaw.co.uk</t>
  </si>
  <si>
    <t xml:space="preserve">81 Rivington Street </t>
  </si>
  <si>
    <t>EC2A 3AY</t>
  </si>
  <si>
    <t>office@barrettslaw.co.uk</t>
  </si>
  <si>
    <t>Stallard March &amp; Edwards LLP</t>
  </si>
  <si>
    <t>8 Sansome Walk</t>
  </si>
  <si>
    <t>WR1 1LW</t>
  </si>
  <si>
    <t>liz.stirk@smesolicitors.co.uk</t>
  </si>
  <si>
    <t>Key Conveyancing LLP</t>
  </si>
  <si>
    <t>18 Queensbridge</t>
  </si>
  <si>
    <t>Bedford Road</t>
  </si>
  <si>
    <t>Northampton</t>
  </si>
  <si>
    <t>Northamptonshire</t>
  </si>
  <si>
    <t>NN4 7BF</t>
  </si>
  <si>
    <t>info@keyconveyancing.co.uk</t>
  </si>
  <si>
    <t xml:space="preserve">Ground Floor, Unit 5 </t>
  </si>
  <si>
    <t>450 Midsummer Boulevard</t>
  </si>
  <si>
    <t xml:space="preserve">Milton Keynes, </t>
  </si>
  <si>
    <t>MK9 2EA</t>
  </si>
  <si>
    <t>St Neots</t>
  </si>
  <si>
    <t>26 Market Square</t>
  </si>
  <si>
    <t>PE19 2AF</t>
  </si>
  <si>
    <t>Bedford</t>
  </si>
  <si>
    <t>3 Stephenson Court, Fraser Road</t>
  </si>
  <si>
    <t>Priory Business Park</t>
  </si>
  <si>
    <t>MK44 3WH</t>
  </si>
  <si>
    <t>Kettering</t>
  </si>
  <si>
    <t>Unit 4 Kings Court</t>
  </si>
  <si>
    <t>Kettering Parkway</t>
  </si>
  <si>
    <t>NN15 6WJ</t>
  </si>
  <si>
    <t>Leamington Spa</t>
  </si>
  <si>
    <t>Aylesford House, 72 Clarendon Street</t>
  </si>
  <si>
    <t>Warwickshire</t>
  </si>
  <si>
    <t>CV32 4PE</t>
  </si>
  <si>
    <t>Wellingborough</t>
  </si>
  <si>
    <t>21 Nene Court</t>
  </si>
  <si>
    <t>The Embankment</t>
  </si>
  <si>
    <t>NN8 1LD</t>
  </si>
  <si>
    <t>Clayton Mott</t>
  </si>
  <si>
    <t>Market Chambers</t>
  </si>
  <si>
    <t>Market Place</t>
  </si>
  <si>
    <t>Sutton-in-Ashfield</t>
  </si>
  <si>
    <t>NG17 1AQ</t>
  </si>
  <si>
    <t>helen@claytonmottandlawton.co.uk</t>
  </si>
  <si>
    <t>Grafton House, 67 Loughborough Road</t>
  </si>
  <si>
    <t>West Bridgford</t>
  </si>
  <si>
    <t>NOTTINGHAM</t>
  </si>
  <si>
    <t>NG2 7LA</t>
  </si>
  <si>
    <t>will@claytonmott.co.uk</t>
  </si>
  <si>
    <t>Paul Crowley &amp; Co Solicitors Limited</t>
  </si>
  <si>
    <t>Frank Crowley House, 232 Breck Road</t>
  </si>
  <si>
    <t>Anfield</t>
  </si>
  <si>
    <t>L5 6PX</t>
  </si>
  <si>
    <t>jenna.gall@paulcrowley.co.uk</t>
  </si>
  <si>
    <t>PCB Solicitors LLP</t>
  </si>
  <si>
    <t>Cypress Centre</t>
  </si>
  <si>
    <t>Shrewsbury Business Park</t>
  </si>
  <si>
    <t>SY2 6LG</t>
  </si>
  <si>
    <t>lenderpanels@pcblaw.co.uk</t>
  </si>
  <si>
    <t>Office Suite 8, 54 Broad Street</t>
  </si>
  <si>
    <t>SY8 1GP</t>
  </si>
  <si>
    <t>Church Stretton</t>
  </si>
  <si>
    <t>Old Bank Chambers</t>
  </si>
  <si>
    <t>2 High Street</t>
  </si>
  <si>
    <t>SY6 6BU</t>
  </si>
  <si>
    <t>Knighton</t>
  </si>
  <si>
    <t>7 Wylcwm Place</t>
  </si>
  <si>
    <t>LD7 1AE</t>
  </si>
  <si>
    <t>Trevithick House, Stafford Park 4</t>
  </si>
  <si>
    <t>TF3 3BA</t>
  </si>
  <si>
    <t>Hopkins Solicitors Ltd</t>
  </si>
  <si>
    <t>Eden Court</t>
  </si>
  <si>
    <t>Crow Hill Drive</t>
  </si>
  <si>
    <t>NG19 7AE</t>
  </si>
  <si>
    <t>mknox@hopkins-solicitors.co.uk</t>
  </si>
  <si>
    <t>27 Regent Street</t>
  </si>
  <si>
    <t>NG1 5BS</t>
  </si>
  <si>
    <t>Wheatley House, 3 Diamond Avenue</t>
  </si>
  <si>
    <t>Kirkby-in-Ashfield</t>
  </si>
  <si>
    <t>NG17 7GP</t>
  </si>
  <si>
    <t>The Old Market Tavern, Market Place</t>
  </si>
  <si>
    <t>Sutton in Ashfield</t>
  </si>
  <si>
    <t>Heanor</t>
  </si>
  <si>
    <t>2 Godfrey Street</t>
  </si>
  <si>
    <t>DE75 7NS</t>
  </si>
  <si>
    <t>info@hopkins-solicitors.co.uk</t>
  </si>
  <si>
    <t>Helios Legal Services Ltd</t>
  </si>
  <si>
    <t>6-8 New North Parade</t>
  </si>
  <si>
    <t>Huddersfield</t>
  </si>
  <si>
    <t>HD1 5JP</t>
  </si>
  <si>
    <t>Dominic.hirst@baileysmailes.co.uk</t>
  </si>
  <si>
    <t>38 Huddersfield Road</t>
  </si>
  <si>
    <t>Holmfirth</t>
  </si>
  <si>
    <t>HD9 2JW</t>
  </si>
  <si>
    <t>Dominic.Hirst@baileysmailes.co.uk</t>
  </si>
  <si>
    <t>Mirfield</t>
  </si>
  <si>
    <t>138 Huddersfield Road</t>
  </si>
  <si>
    <t>WF14 8AN</t>
  </si>
  <si>
    <t>emma.crowther@baileysmailes.co.uk</t>
  </si>
  <si>
    <t>HCR Legal LLP</t>
  </si>
  <si>
    <t>105 High Street</t>
  </si>
  <si>
    <t>Worcs</t>
  </si>
  <si>
    <t>WR1 2HW</t>
  </si>
  <si>
    <t>lawyers@hcrlaw.com</t>
  </si>
  <si>
    <t>Ellenborough House, Wellington Street</t>
  </si>
  <si>
    <t>GL50 1YD</t>
  </si>
  <si>
    <t>Thorpe House, 29 Broad Street</t>
  </si>
  <si>
    <t>HR4 9AR</t>
  </si>
  <si>
    <t>Overross House, Ross Park</t>
  </si>
  <si>
    <t>Ross-on-Wye</t>
  </si>
  <si>
    <t>HR9 7US</t>
  </si>
  <si>
    <t>50-60 Station Road</t>
  </si>
  <si>
    <t>CB1 2JH</t>
  </si>
  <si>
    <t>Lancaster House, Nunn Mills Road</t>
  </si>
  <si>
    <t>NN1 5GE</t>
  </si>
  <si>
    <t>Cornerblock, 2 Cornwall Street</t>
  </si>
  <si>
    <t>B3 2DX</t>
  </si>
  <si>
    <t>51 Lime Street</t>
  </si>
  <si>
    <t>EC3M 7DQ</t>
  </si>
  <si>
    <t>Aquis House, 49-51 Blagrave Street</t>
  </si>
  <si>
    <t>RG1 1PL</t>
  </si>
  <si>
    <t>Hodge House, 114-116 St Mary Street</t>
  </si>
  <si>
    <t>CF10 1DY</t>
  </si>
  <si>
    <t>3 St James Court, St James Place</t>
  </si>
  <si>
    <t>NR3 1RJ</t>
  </si>
  <si>
    <t>Hyperion House, Pegasus Court</t>
  </si>
  <si>
    <t>CV34 6LW</t>
  </si>
  <si>
    <t>One Anchorage Avenue</t>
  </si>
  <si>
    <t>SY2 6FG</t>
  </si>
  <si>
    <t>Lancashire Legal Ltd</t>
  </si>
  <si>
    <t>61 Dale Street</t>
  </si>
  <si>
    <t>Milnrow</t>
  </si>
  <si>
    <t>Rochdale</t>
  </si>
  <si>
    <t>OL16 3NJ</t>
  </si>
  <si>
    <t>belinda.thomasson@lancslaw.co.uk</t>
  </si>
  <si>
    <t>32 Halifax Road</t>
  </si>
  <si>
    <t>Todmorden</t>
  </si>
  <si>
    <t>OL14 5QG</t>
  </si>
  <si>
    <t>todmorden@lancslaw.co.uk</t>
  </si>
  <si>
    <t>KJD Law Ltd</t>
  </si>
  <si>
    <t>8-10 Church Street</t>
  </si>
  <si>
    <t>Ormskirk</t>
  </si>
  <si>
    <t>L39 3AN</t>
  </si>
  <si>
    <t>Enquiries@kjdlaw.co.uk</t>
  </si>
  <si>
    <t>4-6 Library Street</t>
  </si>
  <si>
    <t>Wigan</t>
  </si>
  <si>
    <t>WN1 1NN</t>
  </si>
  <si>
    <t>enquiries@kjdlaw.co.uk</t>
  </si>
  <si>
    <t>Brr Law</t>
  </si>
  <si>
    <t>Wadsworth House, 30-40 Laneham Street</t>
  </si>
  <si>
    <t>Scunthorpe</t>
  </si>
  <si>
    <t>North Lincolnshire</t>
  </si>
  <si>
    <t>DN15 6PB</t>
  </si>
  <si>
    <t>JaneLawson@brrlaw.co.uk</t>
  </si>
  <si>
    <t>Your Conveyancer Limited England &amp; Wales</t>
  </si>
  <si>
    <t>East Port House</t>
  </si>
  <si>
    <t>12 East Port</t>
  </si>
  <si>
    <t>Dunfermline</t>
  </si>
  <si>
    <t>Fife</t>
  </si>
  <si>
    <t>KY12 7JB</t>
  </si>
  <si>
    <t>martin.bourke@yourconveyancer.co.uk</t>
  </si>
  <si>
    <t>Collective Legal Ltd</t>
  </si>
  <si>
    <t>Office 324, 84, Salop Street,</t>
  </si>
  <si>
    <t>WV3 0SR</t>
  </si>
  <si>
    <t>paramjit@collective.legal</t>
  </si>
  <si>
    <t>5 Merchant Square</t>
  </si>
  <si>
    <t>W2 1AY</t>
  </si>
  <si>
    <t>LCF Residential Limited</t>
  </si>
  <si>
    <t>One St. James Business Park</t>
  </si>
  <si>
    <t>New Augustus Street</t>
  </si>
  <si>
    <t>BD1 5LL</t>
  </si>
  <si>
    <t>ResConAdmin@lcf.co.uk</t>
  </si>
  <si>
    <t>2 Wells Walk</t>
  </si>
  <si>
    <t>Ilkley</t>
  </si>
  <si>
    <t>LS29 9LH</t>
  </si>
  <si>
    <t>resconadmin@lcf.co.uk</t>
  </si>
  <si>
    <t>The Exchange, Station Parade</t>
  </si>
  <si>
    <t>Harrogate</t>
  </si>
  <si>
    <t>HG1 1TS</t>
  </si>
  <si>
    <t>33 Park Place</t>
  </si>
  <si>
    <t>LS1 2RY</t>
  </si>
  <si>
    <t>Punch Robson</t>
  </si>
  <si>
    <t>34 Myton Road</t>
  </si>
  <si>
    <t>Ingleby Barwick</t>
  </si>
  <si>
    <t>Cleveland</t>
  </si>
  <si>
    <t>TS17 0WG</t>
  </si>
  <si>
    <t>keaton@punchrobson.law</t>
  </si>
  <si>
    <t>Berry Smith LLP</t>
  </si>
  <si>
    <t>Haywood House</t>
  </si>
  <si>
    <t>Dumfries Place</t>
  </si>
  <si>
    <t>South Glamorgan</t>
  </si>
  <si>
    <t>CF10 3GA</t>
  </si>
  <si>
    <t>CCackett@berrysmith.com</t>
  </si>
  <si>
    <t>Brackla House</t>
  </si>
  <si>
    <t>Brackla Street</t>
  </si>
  <si>
    <t>Mid Glamorgan</t>
  </si>
  <si>
    <t>CF31 1BZ</t>
  </si>
  <si>
    <t>Mezzle Limited</t>
  </si>
  <si>
    <t>1 Fore St Avenue</t>
  </si>
  <si>
    <t>EC2Y 9DT</t>
  </si>
  <si>
    <t>lenderexchange@mezzlelaw.com</t>
  </si>
  <si>
    <t>Unit 19A, Deben Mill Business Centre</t>
  </si>
  <si>
    <t>Old Maltings Approach</t>
  </si>
  <si>
    <t>Melton</t>
  </si>
  <si>
    <t>Woodbridge</t>
  </si>
  <si>
    <t>IP12 1BL</t>
  </si>
  <si>
    <t>Tinn Criddle Hall LLP</t>
  </si>
  <si>
    <t>6 High Street</t>
  </si>
  <si>
    <t>Alford</t>
  </si>
  <si>
    <t>LN13 9DX</t>
  </si>
  <si>
    <t>dja@tinncriddle.co.uk</t>
  </si>
  <si>
    <t>Spilsby</t>
  </si>
  <si>
    <t>PE23 5JH</t>
  </si>
  <si>
    <t>sg@tinncriddle.co.uk</t>
  </si>
  <si>
    <t>31 HIGH STREET</t>
  </si>
  <si>
    <t>SUTTON ON SEA</t>
  </si>
  <si>
    <t>MABLETHORPE</t>
  </si>
  <si>
    <t>LINCOLNSHIRE</t>
  </si>
  <si>
    <t>LN12 2EY</t>
  </si>
  <si>
    <t>Kimb@tinncriddle.co.uk</t>
  </si>
  <si>
    <t>Hartley &amp; Worstenholme</t>
  </si>
  <si>
    <t>20 Bank Street</t>
  </si>
  <si>
    <t>Castleford</t>
  </si>
  <si>
    <t>WF10 1JD</t>
  </si>
  <si>
    <t>jsharp@hartley-worstenholme.co.uk</t>
  </si>
  <si>
    <t>10 Gillygate</t>
  </si>
  <si>
    <t>Pontefract</t>
  </si>
  <si>
    <t>WF8 1PQ</t>
  </si>
  <si>
    <t>info@hartley-worstenholme.co.uk</t>
  </si>
  <si>
    <t>Bindmans LLP</t>
  </si>
  <si>
    <t>5 Castle Row</t>
  </si>
  <si>
    <t>Horticultural Place</t>
  </si>
  <si>
    <t>W4 4JQ</t>
  </si>
  <si>
    <t>jonathan.walsh@suttonmattocks.co.uk</t>
  </si>
  <si>
    <t>Rands Solicitors Limited</t>
  </si>
  <si>
    <t>228 - 230 Ashby High Street,</t>
  </si>
  <si>
    <t>DN16 2SL</t>
  </si>
  <si>
    <t>melissa@randssolicitors.co.uk</t>
  </si>
  <si>
    <t>Brigg</t>
  </si>
  <si>
    <t>3c Queen Street, Britannia Court</t>
  </si>
  <si>
    <t>DN20 8HY</t>
  </si>
  <si>
    <t>Bates Wells &amp; Braithwaite</t>
  </si>
  <si>
    <t>29 Lower Brook Street</t>
  </si>
  <si>
    <t>Ipswich</t>
  </si>
  <si>
    <t>Suffolk</t>
  </si>
  <si>
    <t>IP4 1AQ</t>
  </si>
  <si>
    <t>karen.healy@bates-wells.co.uk</t>
  </si>
  <si>
    <t>Signature Law Ltd</t>
  </si>
  <si>
    <t>14 Moray Way</t>
  </si>
  <si>
    <t>Romford</t>
  </si>
  <si>
    <t>RM1 4YD</t>
  </si>
  <si>
    <t>sital@signaturelaw.co.uk</t>
  </si>
  <si>
    <t>Charter House - Right, First Floor</t>
  </si>
  <si>
    <t>123 South Street</t>
  </si>
  <si>
    <t>RM1 1NX</t>
  </si>
  <si>
    <t>Hamers Solicitors LLP</t>
  </si>
  <si>
    <t>5 Earls Court</t>
  </si>
  <si>
    <t>Priory Park East</t>
  </si>
  <si>
    <t>Hull</t>
  </si>
  <si>
    <t>East Yorkshire</t>
  </si>
  <si>
    <t>HU4 7DY</t>
  </si>
  <si>
    <t>cbailey@hamers.com</t>
  </si>
  <si>
    <t>Palmers Law Ltd</t>
  </si>
  <si>
    <t>19 Town Square</t>
  </si>
  <si>
    <t xml:space="preserve">Basildon </t>
  </si>
  <si>
    <t>SS14 1BD</t>
  </si>
  <si>
    <t>erincronin@palmerslaw.co.uk</t>
  </si>
  <si>
    <t>Basildon</t>
  </si>
  <si>
    <t>Unit 3-4, Ascension Business Park, Fleming Road</t>
  </si>
  <si>
    <t>Chafford Hundred</t>
  </si>
  <si>
    <t>Grays</t>
  </si>
  <si>
    <t>RM16 6HH</t>
  </si>
  <si>
    <t>Prospect House</t>
  </si>
  <si>
    <t>Prospect House, Brickfields Road</t>
  </si>
  <si>
    <t>South Woodham Ferrers</t>
  </si>
  <si>
    <t>Chelmsford</t>
  </si>
  <si>
    <t>CM3 5XB</t>
  </si>
  <si>
    <t>Rayleigh</t>
  </si>
  <si>
    <t>SS6 7QA</t>
  </si>
  <si>
    <t>75 Springfield Road</t>
  </si>
  <si>
    <t>CM2 6JG</t>
  </si>
  <si>
    <t>enquiries@palmerslaw.co.uk</t>
  </si>
  <si>
    <t>FDR Law Limited</t>
  </si>
  <si>
    <t>71-73 Carter Lane</t>
  </si>
  <si>
    <t>EC4V 5EQ</t>
  </si>
  <si>
    <t>mortgages@fdrlaw.co.uk</t>
  </si>
  <si>
    <t>Sweeney Miller LLP</t>
  </si>
  <si>
    <t>Sweeney Miller House</t>
  </si>
  <si>
    <t>Riverbank Road</t>
  </si>
  <si>
    <t>Sunderland</t>
  </si>
  <si>
    <t>Tyne &amp; Wear</t>
  </si>
  <si>
    <t>SR5 3JJ</t>
  </si>
  <si>
    <t>Lisa.Hurley@sweeneymiller.co.uk</t>
  </si>
  <si>
    <t>Bulman House, Regent Centre, Henry Street</t>
  </si>
  <si>
    <t>Gosforth</t>
  </si>
  <si>
    <t>Newcastle Upon Tyne</t>
  </si>
  <si>
    <t>NE3 3LS</t>
  </si>
  <si>
    <t>Talbot Walker LLP</t>
  </si>
  <si>
    <t>South Wing, Wessex Chambers</t>
  </si>
  <si>
    <t>South Street</t>
  </si>
  <si>
    <t>Andover</t>
  </si>
  <si>
    <t>SP10 2BN</t>
  </si>
  <si>
    <t>laurenf@talbotwalker.co.uk</t>
  </si>
  <si>
    <t>Thompson &amp; Jackson Solicitors LLP</t>
  </si>
  <si>
    <t>Hyder House</t>
  </si>
  <si>
    <t>680 Budshead Road</t>
  </si>
  <si>
    <t>PL6 5XR</t>
  </si>
  <si>
    <t>katie.braithwaite@thompsonandjackson.co.uk</t>
  </si>
  <si>
    <t>Saltash</t>
  </si>
  <si>
    <t>6 Fore Street</t>
  </si>
  <si>
    <t>PL12 6JL</t>
  </si>
  <si>
    <t xml:space="preserve">katie.braithwaite@thompsonandjackson.co.uk </t>
  </si>
  <si>
    <t>47 Fore Street</t>
  </si>
  <si>
    <t>Ivybridge</t>
  </si>
  <si>
    <t>PL21 9AE</t>
  </si>
  <si>
    <t>Swinburne Maddison LLP</t>
  </si>
  <si>
    <t>Venture House</t>
  </si>
  <si>
    <t>Aykley Heads Business Centre</t>
  </si>
  <si>
    <t>Durham</t>
  </si>
  <si>
    <t>County Durham</t>
  </si>
  <si>
    <t>DH1 5TS</t>
  </si>
  <si>
    <t>kes@swinburnemaddison.co.uk</t>
  </si>
  <si>
    <t>Chafes Hague Lambert LLP</t>
  </si>
  <si>
    <t>22 Church Street</t>
  </si>
  <si>
    <t>WILMSLOW</t>
  </si>
  <si>
    <t>SK9 1AU</t>
  </si>
  <si>
    <t>gail.carberry@chlsolicitors.co.uk</t>
  </si>
  <si>
    <t>New Mills</t>
  </si>
  <si>
    <t>21-23 Union Road</t>
  </si>
  <si>
    <t>High Peak</t>
  </si>
  <si>
    <t>SK22 3EL</t>
  </si>
  <si>
    <t>ellen.jackson@chlsolicitors.co.uk</t>
  </si>
  <si>
    <t>Urmston</t>
  </si>
  <si>
    <t>2-4 Primrose Avenue</t>
  </si>
  <si>
    <t>M41 0TY</t>
  </si>
  <si>
    <t>edward.cooper@chlsolicitors.co.uk</t>
  </si>
  <si>
    <t>Drew Property Law Limited</t>
  </si>
  <si>
    <t>Alder House, Aylburton Business Centre</t>
  </si>
  <si>
    <t>Lydney</t>
  </si>
  <si>
    <t>GL15 6ST</t>
  </si>
  <si>
    <t>sue.drew@drewpropertylaw.co.uk</t>
  </si>
  <si>
    <t>Beers LLP</t>
  </si>
  <si>
    <t>29 Fore Street</t>
  </si>
  <si>
    <t>Kingsbridge</t>
  </si>
  <si>
    <t>TQ7 1AA</t>
  </si>
  <si>
    <t>richard.jones@beersllp.com</t>
  </si>
  <si>
    <t>Ground Floor, Princess Court</t>
  </si>
  <si>
    <t>23 Princess Street</t>
  </si>
  <si>
    <t>PL1 2EX</t>
  </si>
  <si>
    <t>info@beersllp.com</t>
  </si>
  <si>
    <t>Lawfinix Legal Limited</t>
  </si>
  <si>
    <t>Unit 3H The Tannery, Bradford Road</t>
  </si>
  <si>
    <t>Halifax</t>
  </si>
  <si>
    <t>HX3 7HR</t>
  </si>
  <si>
    <t>YShabbir@lawfinix.co.uk</t>
  </si>
  <si>
    <t>Emerald Law Solicitors Ltd</t>
  </si>
  <si>
    <t>Walker House</t>
  </si>
  <si>
    <t>Exchange Flags</t>
  </si>
  <si>
    <t>L2 3YL</t>
  </si>
  <si>
    <t>Rebeccar@emeraldlaw.co.uk</t>
  </si>
  <si>
    <t>Footner &amp; Ewing LLP</t>
  </si>
  <si>
    <t>56/58 The Hundred</t>
  </si>
  <si>
    <t>Romsey</t>
  </si>
  <si>
    <t>SO51 8BX</t>
  </si>
  <si>
    <t>inforomsey@footner-ewing.co.uk</t>
  </si>
  <si>
    <t>SOUTHAMPTON</t>
  </si>
  <si>
    <t>18-19 BRUNSWICK PLACE</t>
  </si>
  <si>
    <t>SO15 2SZ</t>
  </si>
  <si>
    <t>AEW@FOOTNER-EWING.CO.UK</t>
  </si>
  <si>
    <t>TOTTON</t>
  </si>
  <si>
    <t>14a WATER LANE</t>
  </si>
  <si>
    <t>Totton</t>
  </si>
  <si>
    <t>SO40 3ZB</t>
  </si>
  <si>
    <t>Shirley</t>
  </si>
  <si>
    <t>175-177 Shirley Road</t>
  </si>
  <si>
    <t>SO15 3FG</t>
  </si>
  <si>
    <t>law@accesslaw.co.uk</t>
  </si>
  <si>
    <t>Miller Parris Solicitors LLP</t>
  </si>
  <si>
    <t>3-9 Cricketers Parade</t>
  </si>
  <si>
    <t>Broadwater Street West</t>
  </si>
  <si>
    <t>BN14 8JB</t>
  </si>
  <si>
    <t>estherwillis@millerparris.co.uk</t>
  </si>
  <si>
    <t>Ellis Jones Solicitors LLP</t>
  </si>
  <si>
    <t>Sandbourne House</t>
  </si>
  <si>
    <t>302 Charminster Road</t>
  </si>
  <si>
    <t>Bournemouth</t>
  </si>
  <si>
    <t>BH8 9RU</t>
  </si>
  <si>
    <t>panels@ellisjones.co.uk</t>
  </si>
  <si>
    <t>14A HAVEN ROAD</t>
  </si>
  <si>
    <t>DORSET</t>
  </si>
  <si>
    <t>BH13 7LP</t>
  </si>
  <si>
    <t>RINGWOOD</t>
  </si>
  <si>
    <t>MONMOUTH COURT, SOUTHAMPTON ROAD</t>
  </si>
  <si>
    <t>HAMPSHIRE</t>
  </si>
  <si>
    <t>BH24 1HE</t>
  </si>
  <si>
    <t>SWANAGE</t>
  </si>
  <si>
    <t>55 HIGH STREET</t>
  </si>
  <si>
    <t>BH19 2LT</t>
  </si>
  <si>
    <t>Wimborne</t>
  </si>
  <si>
    <t>Millstream House, 39a East Street</t>
  </si>
  <si>
    <t>BH21 1DX</t>
  </si>
  <si>
    <t>Brooke House Oakley Hill</t>
  </si>
  <si>
    <t>BH21 1RJ</t>
  </si>
  <si>
    <t>john.bulpit@ellisjones.co.uk</t>
  </si>
  <si>
    <t>Dorchester</t>
  </si>
  <si>
    <t>Suites 4, 5 &amp; 6 Somerleigh Gate</t>
  </si>
  <si>
    <t>Somerleigh Road</t>
  </si>
  <si>
    <t>DT1 1TL</t>
  </si>
  <si>
    <t>dorchester@ellisiones.co.uk</t>
  </si>
  <si>
    <t>Office 212, 107 - 111 Fleet Street</t>
  </si>
  <si>
    <t>EC4A 2AB</t>
  </si>
  <si>
    <t>london@ellisjones.co.uk</t>
  </si>
  <si>
    <t>Larrington &amp; Co Ltd</t>
  </si>
  <si>
    <t>Ground Floor, 1 Swan Court</t>
  </si>
  <si>
    <t>Forder Way</t>
  </si>
  <si>
    <t>Hampton</t>
  </si>
  <si>
    <t>PE7 8GX</t>
  </si>
  <si>
    <t>alex.shaw@larringtonandco.com</t>
  </si>
  <si>
    <t>Levi Solicitors LLP</t>
  </si>
  <si>
    <t>33 St Paul's Street</t>
  </si>
  <si>
    <t>LS1 2JJ</t>
  </si>
  <si>
    <t>teamtai@levisolicitors.co.uk</t>
  </si>
  <si>
    <t>397 Harrogate Road</t>
  </si>
  <si>
    <t>Moortown</t>
  </si>
  <si>
    <t>LS17 6DJ</t>
  </si>
  <si>
    <t>info@levisolicitors.co.uk</t>
  </si>
  <si>
    <t xml:space="preserve">JR Levins LLP </t>
  </si>
  <si>
    <t xml:space="preserve">2 Rupert Road </t>
  </si>
  <si>
    <t xml:space="preserve">Huyton </t>
  </si>
  <si>
    <t>L36 9TF</t>
  </si>
  <si>
    <t>property@jrlevins.co.uk</t>
  </si>
  <si>
    <t>WIDNES</t>
  </si>
  <si>
    <t>133 ALBERT ROAD</t>
  </si>
  <si>
    <t>WA8 6LB</t>
  </si>
  <si>
    <t xml:space="preserve">property@jrlevins.co.uk </t>
  </si>
  <si>
    <t>RUNCORN</t>
  </si>
  <si>
    <t>4-5 RUTLAND HOUSE</t>
  </si>
  <si>
    <t>WA7 2ES</t>
  </si>
  <si>
    <t xml:space="preserve">Parry Carver </t>
  </si>
  <si>
    <t>7 Church Street</t>
  </si>
  <si>
    <t>Wellington</t>
  </si>
  <si>
    <t>TF1 1BX</t>
  </si>
  <si>
    <t>NeilSouthern@parrycarver.co.uk</t>
  </si>
  <si>
    <t>The Forum Victoria Road</t>
  </si>
  <si>
    <t>Shifnal</t>
  </si>
  <si>
    <t>TF11 8FE</t>
  </si>
  <si>
    <t>sarah.clinton@parrycarver.co.uk</t>
  </si>
  <si>
    <t>64 Upper Bar</t>
  </si>
  <si>
    <t>Newport</t>
  </si>
  <si>
    <t>TF10 7EJ</t>
  </si>
  <si>
    <t>newport@parrycarver.co.uk</t>
  </si>
  <si>
    <t>Humphries Kirk LLP</t>
  </si>
  <si>
    <t>Glebe House</t>
  </si>
  <si>
    <t>North Street</t>
  </si>
  <si>
    <t>Wareham</t>
  </si>
  <si>
    <t>BH20 4AN</t>
  </si>
  <si>
    <t>d.blackmore@hklaw.uk</t>
  </si>
  <si>
    <t>1 Southbourne Grove</t>
  </si>
  <si>
    <t xml:space="preserve">Dorset </t>
  </si>
  <si>
    <t>BH6 3RD</t>
  </si>
  <si>
    <t>17 Market Street</t>
  </si>
  <si>
    <t>Crewkerne</t>
  </si>
  <si>
    <t xml:space="preserve">Somerset </t>
  </si>
  <si>
    <t>TA18 7JU</t>
  </si>
  <si>
    <t>40 High West Street</t>
  </si>
  <si>
    <t>DT1 1UR</t>
  </si>
  <si>
    <t>4 Rempstone Road</t>
  </si>
  <si>
    <t>Swanage</t>
  </si>
  <si>
    <t>BH19 1DP</t>
  </si>
  <si>
    <t>Link House, 25 West Street</t>
  </si>
  <si>
    <t>Poole</t>
  </si>
  <si>
    <t>BH15 1LD</t>
  </si>
  <si>
    <t>poole@hklaw.uk</t>
  </si>
  <si>
    <t>The Stables</t>
  </si>
  <si>
    <t>The Brewery, Barley Place</t>
  </si>
  <si>
    <t>Blandford St Mary</t>
  </si>
  <si>
    <t>Blandford Forum</t>
  </si>
  <si>
    <t>DT11 9GB</t>
  </si>
  <si>
    <t>Seldons LLP</t>
  </si>
  <si>
    <t>18 the Quay</t>
  </si>
  <si>
    <t>Bideford</t>
  </si>
  <si>
    <t>EX39 2HF</t>
  </si>
  <si>
    <t>nbaddick@seldons.co.uk</t>
  </si>
  <si>
    <t>Nation Property Lawyers Ltd</t>
  </si>
  <si>
    <t>94 Westbourne Road</t>
  </si>
  <si>
    <t>HD1 4LF</t>
  </si>
  <si>
    <t>khalid.khan@nationpl.co.uk</t>
  </si>
  <si>
    <t>Intake Road</t>
  </si>
  <si>
    <t>BD2 3JR</t>
  </si>
  <si>
    <t>property@nationpl.co.uk</t>
  </si>
  <si>
    <t>New Homes Law Ltd</t>
  </si>
  <si>
    <t>Elizabeth House</t>
  </si>
  <si>
    <t>28 Baddow Road</t>
  </si>
  <si>
    <t>CM2 0DG</t>
  </si>
  <si>
    <t>c.noble@nhlaw.co.uk</t>
  </si>
  <si>
    <t>Brown &amp; Murray Legal Services Limited</t>
  </si>
  <si>
    <t>127 Ramsden Square</t>
  </si>
  <si>
    <t>Barrow-in-Furness</t>
  </si>
  <si>
    <t>LA14 1XA</t>
  </si>
  <si>
    <t>mturner@brownandmurray.co.uk</t>
  </si>
  <si>
    <t>Stephensons</t>
  </si>
  <si>
    <t>The Cottage</t>
  </si>
  <si>
    <t>Wombourne</t>
  </si>
  <si>
    <t>Wolverhampton, West Midlands</t>
  </si>
  <si>
    <t>WV5 9DN</t>
  </si>
  <si>
    <t>julie.williams@stephensonsthelawyers.co.uk</t>
  </si>
  <si>
    <t>Brierley Hill</t>
  </si>
  <si>
    <t>57-59 High Street</t>
  </si>
  <si>
    <t>DY5 3ED</t>
  </si>
  <si>
    <t>PHOENIX LAW ASSOCIATES LTD</t>
  </si>
  <si>
    <t>Suite 37, Heron House, Heigham Road</t>
  </si>
  <si>
    <t>East Ham</t>
  </si>
  <si>
    <t>E6 2JG</t>
  </si>
  <si>
    <t>Sreekumar@phoenixlawyers.co.uk</t>
  </si>
  <si>
    <t>Warings Solicitors Ltd</t>
  </si>
  <si>
    <t>Cedar Chambers, Cedar Square</t>
  </si>
  <si>
    <t>FY1 1BP</t>
  </si>
  <si>
    <t>kevin@fyldelaw.co.uk</t>
  </si>
  <si>
    <t>Clifton Chambers, 325 Clifton Drive South</t>
  </si>
  <si>
    <t>Lytham St Annes</t>
  </si>
  <si>
    <t>FY8 1HN</t>
  </si>
  <si>
    <t>cathj@fyldelaw.co.uk</t>
  </si>
  <si>
    <t>Whiskers LLP</t>
  </si>
  <si>
    <t>Arise Harlow, Maypole Boulevard</t>
  </si>
  <si>
    <t>Harlow Innovation Park</t>
  </si>
  <si>
    <t>Harlow</t>
  </si>
  <si>
    <t>CM17 9TX</t>
  </si>
  <si>
    <t>maureen.nimmo@whiskers.co.uk</t>
  </si>
  <si>
    <t>265 High Street</t>
  </si>
  <si>
    <t>Epping</t>
  </si>
  <si>
    <t>CM16 4BS</t>
  </si>
  <si>
    <t>enquiries@whiskers.co.uk</t>
  </si>
  <si>
    <t>The Folly, 18 Hadham Road</t>
  </si>
  <si>
    <t>Bishop's Stortford</t>
  </si>
  <si>
    <t>CM23 2QR</t>
  </si>
  <si>
    <t>Stanton &amp; Partners Limited</t>
  </si>
  <si>
    <t>Georgian House</t>
  </si>
  <si>
    <t>15 Beach Street</t>
  </si>
  <si>
    <t>info@stantonpartners.co.uk</t>
  </si>
  <si>
    <t xml:space="preserve">RLL Legal Limited </t>
  </si>
  <si>
    <t>Unit 15, The Courtyard</t>
  </si>
  <si>
    <t>Timothys Bridge Road</t>
  </si>
  <si>
    <t>Stratford Upon Avon</t>
  </si>
  <si>
    <t>CV37 9NP</t>
  </si>
  <si>
    <t>karen.hollis@rll-legal.com</t>
  </si>
  <si>
    <t>Padiham</t>
  </si>
  <si>
    <t>12-14 Burnley Road</t>
  </si>
  <si>
    <t>Burnley</t>
  </si>
  <si>
    <t>BB12 8BX</t>
  </si>
  <si>
    <t>42 West Street</t>
  </si>
  <si>
    <t>GU27 2AN</t>
  </si>
  <si>
    <t>44 East Pines Drive</t>
  </si>
  <si>
    <t>Thornton Cleveleys</t>
  </si>
  <si>
    <t>FY5 3RX</t>
  </si>
  <si>
    <t>Edmund House</t>
  </si>
  <si>
    <t>12-22 Newhall Street</t>
  </si>
  <si>
    <t>B3 3AS</t>
  </si>
  <si>
    <t>Morr &amp; Co LLP</t>
  </si>
  <si>
    <t>Prospero, 73 London Road</t>
  </si>
  <si>
    <t xml:space="preserve">Redhill </t>
  </si>
  <si>
    <t xml:space="preserve">Surrey </t>
  </si>
  <si>
    <t>RH1 1LQ</t>
  </si>
  <si>
    <t>hr@morrlaw.com</t>
  </si>
  <si>
    <t>GoodLaw Solicitors LLP</t>
  </si>
  <si>
    <t>6 The Drive</t>
  </si>
  <si>
    <t>BN3 3JA</t>
  </si>
  <si>
    <t>lenders@goodlawsolicitors.co.uk</t>
  </si>
  <si>
    <t>Eastgate House, Dogflud Way</t>
  </si>
  <si>
    <t>GU9 7UD</t>
  </si>
  <si>
    <t>4 Isetta Square, 35 New England Street</t>
  </si>
  <si>
    <t>BN1 4GQ</t>
  </si>
  <si>
    <t>Hassocks</t>
  </si>
  <si>
    <t>37-39 Keymer Road</t>
  </si>
  <si>
    <t>BN6 8AG</t>
  </si>
  <si>
    <t>Pinnacle, Station Way</t>
  </si>
  <si>
    <t>Crawley</t>
  </si>
  <si>
    <t>RH10 1JH</t>
  </si>
  <si>
    <t>Aptus Legal Ltd</t>
  </si>
  <si>
    <t>Work Space Hub, 118 North Street</t>
  </si>
  <si>
    <t>LS2 7PN</t>
  </si>
  <si>
    <t>jiji@aptuslegal.co.uk</t>
  </si>
  <si>
    <t>TWM Solicitors LLP</t>
  </si>
  <si>
    <t>65 Woodbridge Road</t>
  </si>
  <si>
    <t>GU1 4RD</t>
  </si>
  <si>
    <t>jonathan.potter@twmsolicitors.com</t>
  </si>
  <si>
    <t>Wimbledon</t>
  </si>
  <si>
    <t>7&amp;9 Queens Road</t>
  </si>
  <si>
    <t>SW19 8NG</t>
  </si>
  <si>
    <t>Reigate</t>
  </si>
  <si>
    <t>40 West Street</t>
  </si>
  <si>
    <t>RH2 9BT</t>
  </si>
  <si>
    <t>Leatherhead</t>
  </si>
  <si>
    <t>Cedar Court, Guildford Road</t>
  </si>
  <si>
    <t>KT22 9RX</t>
  </si>
  <si>
    <t>Leatherhead@twmsolicitors.com</t>
  </si>
  <si>
    <t>Taylors Legal Limited</t>
  </si>
  <si>
    <t>184 Manor Road</t>
  </si>
  <si>
    <t>Chigwell</t>
  </si>
  <si>
    <t>IG7 5PZ</t>
  </si>
  <si>
    <t>elliott.costa@taylorslegal.com</t>
  </si>
  <si>
    <t>ODT Professional Limited</t>
  </si>
  <si>
    <t>Pavilion View</t>
  </si>
  <si>
    <t>19 New Road</t>
  </si>
  <si>
    <t>BN1 1UF</t>
  </si>
  <si>
    <t>echalk@odt.co.uk</t>
  </si>
  <si>
    <t>131 South Road</t>
  </si>
  <si>
    <t>RH16 4LY</t>
  </si>
  <si>
    <t>Wheel House, 133 High Street</t>
  </si>
  <si>
    <t>Hurstpierpoint</t>
  </si>
  <si>
    <t>BN6 9PU</t>
  </si>
  <si>
    <t>41-42 Southgate</t>
  </si>
  <si>
    <t>Chichester</t>
  </si>
  <si>
    <t>PO19 1ET</t>
  </si>
  <si>
    <t>Jasper Vincent Solicitors</t>
  </si>
  <si>
    <t>44 Queensway</t>
  </si>
  <si>
    <t>SO14 3GT</t>
  </si>
  <si>
    <t>maldridge@jaspervincent.com</t>
  </si>
  <si>
    <t>9 Manor Court</t>
  </si>
  <si>
    <t>Barnes Wallis Road</t>
  </si>
  <si>
    <t>Segensworth, Fareham</t>
  </si>
  <si>
    <t>PO15 5TH</t>
  </si>
  <si>
    <t>segensworth@jaspervincent.com</t>
  </si>
  <si>
    <t>Unit 1 Chevron Business Park</t>
  </si>
  <si>
    <t>Lime Kiln Lane</t>
  </si>
  <si>
    <t>Holbury</t>
  </si>
  <si>
    <t>SO45 2QL</t>
  </si>
  <si>
    <t>waterside@jaspervincent.com</t>
  </si>
  <si>
    <t>Downs Solicitors LLP</t>
  </si>
  <si>
    <t>150-156 High Street</t>
  </si>
  <si>
    <t>Dorking</t>
  </si>
  <si>
    <t>RH4 1BQ</t>
  </si>
  <si>
    <t>c.lacy@downslaw.co.uk</t>
  </si>
  <si>
    <t>Cobham</t>
  </si>
  <si>
    <t>15A High Street</t>
  </si>
  <si>
    <t>KT11 3DH</t>
  </si>
  <si>
    <t>Godalming</t>
  </si>
  <si>
    <t>The Tanners</t>
  </si>
  <si>
    <t>75 Meadrow</t>
  </si>
  <si>
    <t>GU7 3HS</t>
  </si>
  <si>
    <t>HallmarkHulme LLP</t>
  </si>
  <si>
    <t>3, 4 - 5 Sansome Place</t>
  </si>
  <si>
    <t>WR1 1UQ</t>
  </si>
  <si>
    <t>Julian.powell@hwhlaw.co.uk</t>
  </si>
  <si>
    <t>J &amp; B Law LLP</t>
  </si>
  <si>
    <t>35 Newgate Street</t>
  </si>
  <si>
    <t>Morpeth</t>
  </si>
  <si>
    <t xml:space="preserve">Northumberland </t>
  </si>
  <si>
    <t>NE61 1AT</t>
  </si>
  <si>
    <t>diane.jackson@jandblaw.co.uk</t>
  </si>
  <si>
    <t xml:space="preserve">Ashworths Solicitors LLP </t>
  </si>
  <si>
    <t xml:space="preserve">The Old Exchange, 12 Compton Road </t>
  </si>
  <si>
    <t>SW19 7QD</t>
  </si>
  <si>
    <t>aregeb@ashworths.co.uk</t>
  </si>
  <si>
    <t>Thirsk Winton LLP</t>
  </si>
  <si>
    <t>Swan House</t>
  </si>
  <si>
    <t>9-12 Johnston Road</t>
  </si>
  <si>
    <t>Woodford Green</t>
  </si>
  <si>
    <t>IG8 0XA</t>
  </si>
  <si>
    <t>jason@thirskwinton.co.uk</t>
  </si>
  <si>
    <t>Premier Solicitors (Bedford) Limited</t>
  </si>
  <si>
    <t>Premier House</t>
  </si>
  <si>
    <t>Lurke Street</t>
  </si>
  <si>
    <t>MK40 3HU</t>
  </si>
  <si>
    <t>property@premiersolicitors.co.uk</t>
  </si>
  <si>
    <t>Kempston</t>
  </si>
  <si>
    <t>189 Bedford Road</t>
  </si>
  <si>
    <t>MK42 8DD</t>
  </si>
  <si>
    <t>info@adamsonlaw.co.uk</t>
  </si>
  <si>
    <t>Grant Saw Solicitors LLP</t>
  </si>
  <si>
    <t xml:space="preserve">Ground Floor, Wood Wharf Building  </t>
  </si>
  <si>
    <t xml:space="preserve">34 Horseferry Place </t>
  </si>
  <si>
    <t>SE10 9BB</t>
  </si>
  <si>
    <t>ml@grantsaw.co.uk</t>
  </si>
  <si>
    <t>Grant Saw House, 8 Tranquil Passage</t>
  </si>
  <si>
    <t>Blackheath Village</t>
  </si>
  <si>
    <t>SE3 0BJ</t>
  </si>
  <si>
    <t>Ridley &amp; Hall Legal Limited</t>
  </si>
  <si>
    <t>Queens House</t>
  </si>
  <si>
    <t>35 Market Street</t>
  </si>
  <si>
    <t>HD1 2HL</t>
  </si>
  <si>
    <t>adam.fletcher@ridleyandhall.co.uk</t>
  </si>
  <si>
    <t>South Elmsall</t>
  </si>
  <si>
    <t>Suite 1b, Low Gate</t>
  </si>
  <si>
    <t>WF9 2SG</t>
  </si>
  <si>
    <t>pontefractpropertypod@ridleyandhall.co.uk</t>
  </si>
  <si>
    <t>Barnsley</t>
  </si>
  <si>
    <t>35 Church Street</t>
  </si>
  <si>
    <t>S70 2AP</t>
  </si>
  <si>
    <t>adam.leece@ridleyandhall.co.uk</t>
  </si>
  <si>
    <t>Blandy &amp; Blandy LLP</t>
  </si>
  <si>
    <t>1 Friar Street</t>
  </si>
  <si>
    <t>RG1 1DA</t>
  </si>
  <si>
    <t>manisha.bhula@blandy.co.uk</t>
  </si>
  <si>
    <t>24 Thameside</t>
  </si>
  <si>
    <t>RG9 2LJ</t>
  </si>
  <si>
    <t>reception@blandy.co.uk</t>
  </si>
  <si>
    <t>Wokingham</t>
  </si>
  <si>
    <t>5 Market Place</t>
  </si>
  <si>
    <t>RG40 1AL</t>
  </si>
  <si>
    <t>Wokingham-reception@blandy.co.uk</t>
  </si>
  <si>
    <t>Marshalls Solicitors LLP</t>
  </si>
  <si>
    <t>102 High Street</t>
  </si>
  <si>
    <t>GU7 1DS</t>
  </si>
  <si>
    <t>nathan@marshalls.uk.net</t>
  </si>
  <si>
    <t>Aston Bond Law Limited</t>
  </si>
  <si>
    <t>Windsor Crown House, 7 Windsor Road</t>
  </si>
  <si>
    <t>Slough</t>
  </si>
  <si>
    <t>SL1 2DX</t>
  </si>
  <si>
    <t>dthomson@astonbond.co.uk</t>
  </si>
  <si>
    <t>Murray Hills Solicitors Limited</t>
  </si>
  <si>
    <t xml:space="preserve">10-12 King Street </t>
  </si>
  <si>
    <t>Bridlington</t>
  </si>
  <si>
    <t xml:space="preserve">East Yorkshire </t>
  </si>
  <si>
    <t>YO15 2DE</t>
  </si>
  <si>
    <t>keith.murray@murrayhillssolicitors.co.uk</t>
  </si>
  <si>
    <t xml:space="preserve">434 Holderness Road </t>
  </si>
  <si>
    <t xml:space="preserve">Hull </t>
  </si>
  <si>
    <t>HU9 3DW</t>
  </si>
  <si>
    <t>info@murrayhillssolicitors.co.uk</t>
  </si>
  <si>
    <t>72 Southgate</t>
  </si>
  <si>
    <t>Hornsea</t>
  </si>
  <si>
    <t>HU18 1AL</t>
  </si>
  <si>
    <t>Biscoes Legal Services Limited</t>
  </si>
  <si>
    <t>2 Port Way</t>
  </si>
  <si>
    <t>Port Solent</t>
  </si>
  <si>
    <t>Portsmouth</t>
  </si>
  <si>
    <t>PO6 4TY</t>
  </si>
  <si>
    <t>coldham@biscoes-law.co.uk</t>
  </si>
  <si>
    <t>Waterlooville</t>
  </si>
  <si>
    <t>15 Somerset House, Hussar Court</t>
  </si>
  <si>
    <t>Westside View</t>
  </si>
  <si>
    <t>PO7 7SG</t>
  </si>
  <si>
    <t>Petersfield</t>
  </si>
  <si>
    <t>Antrobus House</t>
  </si>
  <si>
    <t>18 College Street</t>
  </si>
  <si>
    <t>GU31 4AD</t>
  </si>
  <si>
    <t>67 Union Street</t>
  </si>
  <si>
    <t>Ryde</t>
  </si>
  <si>
    <t>Isle of Wight</t>
  </si>
  <si>
    <t>PO33 2LN</t>
  </si>
  <si>
    <t>147 High Street</t>
  </si>
  <si>
    <t>PO30 1TY</t>
  </si>
  <si>
    <t>info@biscoes-law.co.uk</t>
  </si>
  <si>
    <t>14 East Street</t>
  </si>
  <si>
    <t>PO16 0BN</t>
  </si>
  <si>
    <t>Bordon</t>
  </si>
  <si>
    <t>60 Barbados Road</t>
  </si>
  <si>
    <t>GU35 0FX</t>
  </si>
  <si>
    <t>Edward Hands and Lewis Limited</t>
  </si>
  <si>
    <t>8 Forest Road</t>
  </si>
  <si>
    <t>compliance@ehlsolicitors.co.uk</t>
  </si>
  <si>
    <t>Melbourne</t>
  </si>
  <si>
    <t>34 Market Place</t>
  </si>
  <si>
    <t>DE73 8DS</t>
  </si>
  <si>
    <t xml:space="preserve">compliance@ehlsolicitors.co.uk </t>
  </si>
  <si>
    <t>1320 Melton Road</t>
  </si>
  <si>
    <t>LE7 2EQ</t>
  </si>
  <si>
    <t>Bulwell</t>
  </si>
  <si>
    <t>299 Main Street</t>
  </si>
  <si>
    <t>NG6 8ED</t>
  </si>
  <si>
    <t>Hucknall</t>
  </si>
  <si>
    <t>Belmont House, Station Road</t>
  </si>
  <si>
    <t>NG15 7UE</t>
  </si>
  <si>
    <t>22 Park Road</t>
  </si>
  <si>
    <t>LE13 1TT</t>
  </si>
  <si>
    <t>Pritchard Jones Lane LLP</t>
  </si>
  <si>
    <t>37 Y Maes</t>
  </si>
  <si>
    <t>Caernarfon</t>
  </si>
  <si>
    <t>Gwynedd</t>
  </si>
  <si>
    <t>LL55 2NP</t>
  </si>
  <si>
    <t>lowri.ceiriog@pritchardjones.co.uk</t>
  </si>
  <si>
    <t>Blacks Solicitors LLP</t>
  </si>
  <si>
    <t>29 King Street</t>
  </si>
  <si>
    <t>LS1 2HL</t>
  </si>
  <si>
    <t>DGoodwin@lawblacks.com</t>
  </si>
  <si>
    <t>Osbornes Solicitors LLP</t>
  </si>
  <si>
    <t>Livery House, 7-9 Pratt Street</t>
  </si>
  <si>
    <t>Camden Town</t>
  </si>
  <si>
    <t>NW1 0AE</t>
  </si>
  <si>
    <t>simon.nosworthy@osborneslaw.com</t>
  </si>
  <si>
    <t>Hodgkinsons Solicitors Ltd</t>
  </si>
  <si>
    <t>The Bracings, 7 Heath Road</t>
  </si>
  <si>
    <t>Skegness</t>
  </si>
  <si>
    <t>PE25 3ST</t>
  </si>
  <si>
    <t>bneal@hodgkinsons.co.uk</t>
  </si>
  <si>
    <t>Cooke Painter Limited</t>
  </si>
  <si>
    <t>40 Sandy Park Road</t>
  </si>
  <si>
    <t>Brislington</t>
  </si>
  <si>
    <t>South Gloucestershire</t>
  </si>
  <si>
    <t>BS4 3PF</t>
  </si>
  <si>
    <t>levir@cookepainter.co.uk</t>
  </si>
  <si>
    <t>314 Wells Road</t>
  </si>
  <si>
    <t>Knowle</t>
  </si>
  <si>
    <t>BS4 2QG</t>
  </si>
  <si>
    <t>Whitchurch</t>
  </si>
  <si>
    <t>32 Gilda Parade, Wells Road</t>
  </si>
  <si>
    <t>BS14 9HY</t>
  </si>
  <si>
    <t>Bradley Stoke</t>
  </si>
  <si>
    <t>20 Apex Court</t>
  </si>
  <si>
    <t>Woodlands</t>
  </si>
  <si>
    <t>BS32 4JT</t>
  </si>
  <si>
    <t xml:space="preserve">NFL Legal Ltd </t>
  </si>
  <si>
    <t>109 London Road</t>
  </si>
  <si>
    <t>Benfleet</t>
  </si>
  <si>
    <t>SS7 5UH</t>
  </si>
  <si>
    <t>cassie@nfl-legal.co.uk</t>
  </si>
  <si>
    <t>Hockley</t>
  </si>
  <si>
    <t>3 Spa Road</t>
  </si>
  <si>
    <t>SS5 4AZ</t>
  </si>
  <si>
    <t>Billericay</t>
  </si>
  <si>
    <t>108B High Street</t>
  </si>
  <si>
    <t>CM12 9BY</t>
  </si>
  <si>
    <t>London Sol Limited</t>
  </si>
  <si>
    <t>Unit 3, Fountayne Business Centre, Broad lane</t>
  </si>
  <si>
    <t>Tottenham</t>
  </si>
  <si>
    <t>N15 4AG</t>
  </si>
  <si>
    <t>cemal.turk@greymore.com</t>
  </si>
  <si>
    <t>Vision Building, 4 Footscray Road</t>
  </si>
  <si>
    <t>SE9 2TW</t>
  </si>
  <si>
    <t>Moss Law Ltd</t>
  </si>
  <si>
    <t>2 Castle Street</t>
  </si>
  <si>
    <t>CW8 1AB</t>
  </si>
  <si>
    <t>joanne.charles@mosshaselhurst.co.uk</t>
  </si>
  <si>
    <t>Grange House</t>
  </si>
  <si>
    <t>5 Grange Lane</t>
  </si>
  <si>
    <t>Winsford</t>
  </si>
  <si>
    <t>CW7 2DH</t>
  </si>
  <si>
    <t>Capron &amp; Helliwell Solicitors LLP</t>
  </si>
  <si>
    <t>Stalham</t>
  </si>
  <si>
    <t>NR12 9AN</t>
  </si>
  <si>
    <t>c.sadler@capronandhelliwell.co.uk</t>
  </si>
  <si>
    <t>Helliwell House, Station Road</t>
  </si>
  <si>
    <t>Hoveton</t>
  </si>
  <si>
    <t>NR12 8UR</t>
  </si>
  <si>
    <t>enquiries@capronandhelliwell.co.uk</t>
  </si>
  <si>
    <t>Mills Chody LLP</t>
  </si>
  <si>
    <t>396 Kenton Road</t>
  </si>
  <si>
    <t>Harrow</t>
  </si>
  <si>
    <t>Middlesex</t>
  </si>
  <si>
    <t>HA3 9DH</t>
  </si>
  <si>
    <t>kdulai@millschody.com</t>
  </si>
  <si>
    <t>388 Uxbridge Road</t>
  </si>
  <si>
    <t>Pinner</t>
  </si>
  <si>
    <t>HA5 4JA</t>
  </si>
  <si>
    <t>info@millschody.com</t>
  </si>
  <si>
    <t>25 Manchester Square</t>
  </si>
  <si>
    <t>W1U 3PY</t>
  </si>
  <si>
    <t>rjohal@millschody.com</t>
  </si>
  <si>
    <t>Oglethorpe Sturton &amp; Gillibrand LLP</t>
  </si>
  <si>
    <t>16 Castle Park</t>
  </si>
  <si>
    <t>Lancaster</t>
  </si>
  <si>
    <t>LA1 1YG</t>
  </si>
  <si>
    <t>Charlotte.Russell@osg.co.uk</t>
  </si>
  <si>
    <t>17 Main Street</t>
  </si>
  <si>
    <t>Kirkby Lonsdale</t>
  </si>
  <si>
    <t>LA6 2AQ</t>
  </si>
  <si>
    <t xml:space="preserve">Ashtons Legal LLP </t>
  </si>
  <si>
    <t>The Long Barn, Fornham Business Court</t>
  </si>
  <si>
    <t>Fornham St Martin</t>
  </si>
  <si>
    <t>Bury St Edmunds</t>
  </si>
  <si>
    <t>IP31 1SL</t>
  </si>
  <si>
    <t>Andrew.Skuse@ashtonslegal.co.uk</t>
  </si>
  <si>
    <t>Trafalgar House, Meridian Way</t>
  </si>
  <si>
    <t>NR7 0TA</t>
  </si>
  <si>
    <t>enquiries.norwich@ashtonslegal.co.uk</t>
  </si>
  <si>
    <t>Portman House</t>
  </si>
  <si>
    <t>120 Princes Street</t>
  </si>
  <si>
    <t>IP1 1RS</t>
  </si>
  <si>
    <t>enquiries@ashtonslegal.co.uk</t>
  </si>
  <si>
    <t>Chequers House, 77-81 Newmarket Road</t>
  </si>
  <si>
    <t>CB5 8EU</t>
  </si>
  <si>
    <t>Gilson Gray (England) Limited</t>
  </si>
  <si>
    <t>Olympic House, 995 Doddington Road</t>
  </si>
  <si>
    <t>LN6 3SE</t>
  </si>
  <si>
    <t>wendy.hayward@gilsongray.com</t>
  </si>
  <si>
    <t>6-7 Queen Street</t>
  </si>
  <si>
    <t>EC4N 1SP</t>
  </si>
  <si>
    <t>Stanley Tee LLP</t>
  </si>
  <si>
    <t>Tees House</t>
  </si>
  <si>
    <t>95 London Road</t>
  </si>
  <si>
    <t>CM23 3GW</t>
  </si>
  <si>
    <t xml:space="preserve">mortgageportals@teeslaw.com </t>
  </si>
  <si>
    <t>3 Journey Campus</t>
  </si>
  <si>
    <t>Castle Park</t>
  </si>
  <si>
    <t>CB3 0AY</t>
  </si>
  <si>
    <t>CHELMSFORD</t>
  </si>
  <si>
    <t>Parkview House, Victoria Road South</t>
  </si>
  <si>
    <t>ESSEX</t>
  </si>
  <si>
    <t>CM1 1NG</t>
  </si>
  <si>
    <t>The Old Hospital</t>
  </si>
  <si>
    <t>London Road</t>
  </si>
  <si>
    <t>Saffron Walden</t>
  </si>
  <si>
    <t>CB11 4ER</t>
  </si>
  <si>
    <t>East Barn, Hyde Hall Farm</t>
  </si>
  <si>
    <t>Sandon</t>
  </si>
  <si>
    <t>Buntingford</t>
  </si>
  <si>
    <t>SG9 0RU</t>
  </si>
  <si>
    <t>Boyes Turner LLP</t>
  </si>
  <si>
    <t>Abbots House</t>
  </si>
  <si>
    <t>Abbey Street</t>
  </si>
  <si>
    <t>RG1 3BD</t>
  </si>
  <si>
    <t>npatten@boyesturner.com</t>
  </si>
  <si>
    <t>Askews Solicitors Limited</t>
  </si>
  <si>
    <t>92-94 Borough Road</t>
  </si>
  <si>
    <t>TS1 2HJ</t>
  </si>
  <si>
    <t>kierondoran@askews.com</t>
  </si>
  <si>
    <t>4-5 West Terrace</t>
  </si>
  <si>
    <t>Redcar</t>
  </si>
  <si>
    <t>TS10 3BX</t>
  </si>
  <si>
    <t>Heckford Norton</t>
  </si>
  <si>
    <t>Tudor House</t>
  </si>
  <si>
    <t>2 Letchmore Road</t>
  </si>
  <si>
    <t>Stevenage</t>
  </si>
  <si>
    <t>SG1 3HU</t>
  </si>
  <si>
    <t>LS@heckfordnorton.co.uk</t>
  </si>
  <si>
    <t>18 Hill Street</t>
  </si>
  <si>
    <t>CB10 1JD</t>
  </si>
  <si>
    <t>ls@heckfordnorton.co.uk</t>
  </si>
  <si>
    <t>Letchworth</t>
  </si>
  <si>
    <t>19 Leys Avenue</t>
  </si>
  <si>
    <t>SG6 3EB</t>
  </si>
  <si>
    <t>Burton &amp; Co LLP</t>
  </si>
  <si>
    <t>20 - 22 Corporation Street</t>
  </si>
  <si>
    <t>LN2 1HN</t>
  </si>
  <si>
    <t>inmail@burtonlaw.co.uk</t>
  </si>
  <si>
    <t>7-8 Market Place</t>
  </si>
  <si>
    <t>Sleaford</t>
  </si>
  <si>
    <t>NG34 7SH</t>
  </si>
  <si>
    <t>Clifton Ingram LLP</t>
  </si>
  <si>
    <t>22-24 Broad Street</t>
  </si>
  <si>
    <t>RG40 1BA</t>
  </si>
  <si>
    <t>Lornathomson@cliftoningram.co.uk</t>
  </si>
  <si>
    <t>20 Valpy Street</t>
  </si>
  <si>
    <t>RG1 1AR</t>
  </si>
  <si>
    <t>lornathomson@cliftoningram.co.uk</t>
  </si>
  <si>
    <t xml:space="preserve">Gostrey House </t>
  </si>
  <si>
    <t xml:space="preserve">Union Road </t>
  </si>
  <si>
    <t>GU9 7PT</t>
  </si>
  <si>
    <t>Stuart &amp; Co Solicitors</t>
  </si>
  <si>
    <t>285 Fore Street</t>
  </si>
  <si>
    <t>N9 0PD</t>
  </si>
  <si>
    <t>info@sc-solicitors.com</t>
  </si>
  <si>
    <t>Aubrey Isaacson Solicitors LLP</t>
  </si>
  <si>
    <t>8 Scholes Lane</t>
  </si>
  <si>
    <t>Greater Manchester</t>
  </si>
  <si>
    <t>M25 0BA</t>
  </si>
  <si>
    <t>joanne@isaacsonpartners.com</t>
  </si>
  <si>
    <t xml:space="preserve">Bury, </t>
  </si>
  <si>
    <t>60 Sunny Bank Road</t>
  </si>
  <si>
    <t>Unsworth</t>
  </si>
  <si>
    <t>BL9 8HJ</t>
  </si>
  <si>
    <t>philip@isaacsonpartners.com</t>
  </si>
  <si>
    <t>Newbold Solicitors Limited</t>
  </si>
  <si>
    <t>9 Avondale Estate</t>
  </si>
  <si>
    <t>NP44 1UG</t>
  </si>
  <si>
    <t>maurice@newboldsolicitors.com</t>
  </si>
  <si>
    <t>110 High Street</t>
  </si>
  <si>
    <t>Vale of Glamorgan</t>
  </si>
  <si>
    <t>cf62 7dt</t>
  </si>
  <si>
    <t>barry@newboldsolicitors.com</t>
  </si>
  <si>
    <t>Place Blair &amp; Hatch</t>
  </si>
  <si>
    <t>The Old Grammar School</t>
  </si>
  <si>
    <t>240 High Street</t>
  </si>
  <si>
    <t>Northallerton</t>
  </si>
  <si>
    <t>DL7 8LU</t>
  </si>
  <si>
    <t>Faye.Beattie@pbh-law.co.uk</t>
  </si>
  <si>
    <t>Harrowell &amp; Atkins</t>
  </si>
  <si>
    <t>Boxwell House</t>
  </si>
  <si>
    <t>275 High Street</t>
  </si>
  <si>
    <t>Berkhamsted</t>
  </si>
  <si>
    <t>HP4 1BW</t>
  </si>
  <si>
    <t>legal@harrowell-atkins.co.uk</t>
  </si>
  <si>
    <t>Philip J Hammond &amp; Sons</t>
  </si>
  <si>
    <t>47 Friar Lane</t>
  </si>
  <si>
    <t>LE1 5QX</t>
  </si>
  <si>
    <t>iantaylor@pjhammond.com</t>
  </si>
  <si>
    <t>K R Conveyancing Services Ltd</t>
  </si>
  <si>
    <t>Old Bank Chambers, 9 Margaret Street,</t>
  </si>
  <si>
    <t>Abercynon,</t>
  </si>
  <si>
    <t>Rhondda Cynon Taff,</t>
  </si>
  <si>
    <t>CF45 4RE</t>
  </si>
  <si>
    <t>karen@krconveyancing.co.uk</t>
  </si>
  <si>
    <t xml:space="preserve">Abels </t>
  </si>
  <si>
    <t>Cumberland House</t>
  </si>
  <si>
    <t>15-17 Cumberland Place</t>
  </si>
  <si>
    <t>SO15 2BG</t>
  </si>
  <si>
    <t>j.titt@abels-solicitors.co.uk</t>
  </si>
  <si>
    <t>Emin Read Solicitors Ltd</t>
  </si>
  <si>
    <t>WatchOak</t>
  </si>
  <si>
    <t>Chain Lane</t>
  </si>
  <si>
    <t>Battle</t>
  </si>
  <si>
    <t>TN33 0GB</t>
  </si>
  <si>
    <t>ania@eminread.co.uk</t>
  </si>
  <si>
    <t>25 Balham Hill</t>
  </si>
  <si>
    <t>SW12 9DX</t>
  </si>
  <si>
    <t>Twickenham</t>
  </si>
  <si>
    <t>42 Crown Road</t>
  </si>
  <si>
    <t>St Margarets</t>
  </si>
  <si>
    <t>TW1 3EH</t>
  </si>
  <si>
    <t>35 Gildredge Road</t>
  </si>
  <si>
    <t xml:space="preserve">East Sussex  </t>
  </si>
  <si>
    <t>BN21 4RY</t>
  </si>
  <si>
    <t>Walker &amp; Co Limited</t>
  </si>
  <si>
    <t>82 High Street</t>
  </si>
  <si>
    <t>Maltby</t>
  </si>
  <si>
    <t>S66 7BN</t>
  </si>
  <si>
    <t>enquiries@walkersolicitors.co.uk</t>
  </si>
  <si>
    <t>Brar &amp; Co Ltd</t>
  </si>
  <si>
    <t>240a Chillingham Road</t>
  </si>
  <si>
    <t>Heaton</t>
  </si>
  <si>
    <t>Newcastle upon Tyne</t>
  </si>
  <si>
    <t>NE6 5LP</t>
  </si>
  <si>
    <t>bbrar@brar.co.uk</t>
  </si>
  <si>
    <t>29 West Road</t>
  </si>
  <si>
    <t>NE4 9PU</t>
  </si>
  <si>
    <t>enquiries@brar.co.uk</t>
  </si>
  <si>
    <t>Belcher Addison Solicitors Limited</t>
  </si>
  <si>
    <t>3 West Street</t>
  </si>
  <si>
    <t>Emsworth</t>
  </si>
  <si>
    <t>PO10 7DX</t>
  </si>
  <si>
    <t>pdocking@belcheraddison.co.uk</t>
  </si>
  <si>
    <t>8 North Street</t>
  </si>
  <si>
    <t>PO10 7DD</t>
  </si>
  <si>
    <t>Henriques Griffiths LLP</t>
  </si>
  <si>
    <t>18 Portland Square</t>
  </si>
  <si>
    <t>BS2 8SJ</t>
  </si>
  <si>
    <t>eavery@henriquesgriffiths.com</t>
  </si>
  <si>
    <t>Winterbourne</t>
  </si>
  <si>
    <t>107 High Street</t>
  </si>
  <si>
    <t>BS36 1RD</t>
  </si>
  <si>
    <t>Nash &amp; Co Solicitors LLP</t>
  </si>
  <si>
    <t>Beaumont House</t>
  </si>
  <si>
    <t>Beaumont Park</t>
  </si>
  <si>
    <t>PL4 9BD</t>
  </si>
  <si>
    <t>jarnold@nash.co.uk</t>
  </si>
  <si>
    <t>Woodfords Solicitors LLP</t>
  </si>
  <si>
    <t>11 Harwood Road</t>
  </si>
  <si>
    <t>SW6 4QP</t>
  </si>
  <si>
    <t>rb@woodfords.co.uk</t>
  </si>
  <si>
    <t>Gill Akaster LLP</t>
  </si>
  <si>
    <t>25 Lockyer Street</t>
  </si>
  <si>
    <t>PL1 2QW</t>
  </si>
  <si>
    <t>Natalie.Brenton@GAsolicitors.com</t>
  </si>
  <si>
    <t>Nyland &amp; Beattie</t>
  </si>
  <si>
    <t>The Old Town Hall</t>
  </si>
  <si>
    <t>Victoria Square</t>
  </si>
  <si>
    <t>Widnes</t>
  </si>
  <si>
    <t>WA8 7QZ</t>
  </si>
  <si>
    <t>lhill@nylandandbeattie.co.uk</t>
  </si>
  <si>
    <t>Grimsby Solicitors Limited</t>
  </si>
  <si>
    <t>Riverhead Chambers</t>
  </si>
  <si>
    <t>9 New Street</t>
  </si>
  <si>
    <t>Grimsby</t>
  </si>
  <si>
    <t>North East Lincolnshire</t>
  </si>
  <si>
    <t>DN31 1HQ</t>
  </si>
  <si>
    <t>steve@paulruddlaw.co.uk</t>
  </si>
  <si>
    <t>Rohan Solicitors LLP</t>
  </si>
  <si>
    <t>Aberdeen House, South Road</t>
  </si>
  <si>
    <t>RH16 4NG</t>
  </si>
  <si>
    <t>rupert@rohansolicitors.co.uk</t>
  </si>
  <si>
    <t>Harold G Walker</t>
  </si>
  <si>
    <t>30 West Borough</t>
  </si>
  <si>
    <t>BH21 1NF</t>
  </si>
  <si>
    <t>humanresources@hgwalker.co.uk</t>
  </si>
  <si>
    <t>183 Barrack Road</t>
  </si>
  <si>
    <t>Christchurch</t>
  </si>
  <si>
    <t>BH23 2AR</t>
  </si>
  <si>
    <t>christchurch@hgwalker.co.uk</t>
  </si>
  <si>
    <t>196a-200a The Broadway</t>
  </si>
  <si>
    <t>Broadstone</t>
  </si>
  <si>
    <t>BH18 8DR</t>
  </si>
  <si>
    <t>broadstone@hgwalker.co.uk</t>
  </si>
  <si>
    <t>3 &amp; 4 Restynge House, 11- 15 Ringwood Road</t>
  </si>
  <si>
    <t>Verwood</t>
  </si>
  <si>
    <t>BH31 7AA</t>
  </si>
  <si>
    <t>verwood@hgwalker.co.uk</t>
  </si>
  <si>
    <t>119 Victoria Road</t>
  </si>
  <si>
    <t>Ferndown</t>
  </si>
  <si>
    <t>BH22 9HU</t>
  </si>
  <si>
    <t>HumanResources@hgwalker.co.uk</t>
  </si>
  <si>
    <t>Mewies Solicitors Limited</t>
  </si>
  <si>
    <t>Clifford House</t>
  </si>
  <si>
    <t>Keighley Road</t>
  </si>
  <si>
    <t>Skipton</t>
  </si>
  <si>
    <t>BD23 2NB</t>
  </si>
  <si>
    <t>h.fairest@mewiessolicitors.co.uk</t>
  </si>
  <si>
    <t>Malcolm C Foy &amp; Co Limited</t>
  </si>
  <si>
    <t>14 Princes Street</t>
  </si>
  <si>
    <t>DN1 3NJ</t>
  </si>
  <si>
    <t>info@malcolmcfoy.co.uk</t>
  </si>
  <si>
    <t>Moorgate Croft Business Centre</t>
  </si>
  <si>
    <t>South Grove</t>
  </si>
  <si>
    <t>S60 2DH</t>
  </si>
  <si>
    <t>12 Castlegate</t>
  </si>
  <si>
    <t>Tickhill</t>
  </si>
  <si>
    <t>DN11 9QU</t>
  </si>
  <si>
    <t>Frodshams LLP</t>
  </si>
  <si>
    <t>Morland House, 18 The Parks</t>
  </si>
  <si>
    <t>Newton-Le-Willows</t>
  </si>
  <si>
    <t>WA12 0JQ</t>
  </si>
  <si>
    <t>I.Griffiths@frodshams.co.uk</t>
  </si>
  <si>
    <t xml:space="preserve">Unity House </t>
  </si>
  <si>
    <t>Westwood Park</t>
  </si>
  <si>
    <t>WN3 4HE</t>
  </si>
  <si>
    <t>Seddons GSC LLP</t>
  </si>
  <si>
    <t>2nd Floor</t>
  </si>
  <si>
    <t>120 New Cavendish Street</t>
  </si>
  <si>
    <t>W1W 6XX</t>
  </si>
  <si>
    <t>howard.freeman@seddons-gsc.com</t>
  </si>
  <si>
    <t>Charles French Solicitors Limited</t>
  </si>
  <si>
    <t>Quayside House</t>
  </si>
  <si>
    <t>Newham Road</t>
  </si>
  <si>
    <t>Truro</t>
  </si>
  <si>
    <t>Cornwall</t>
  </si>
  <si>
    <t>TR1 2DP</t>
  </si>
  <si>
    <t>charles.french@charlesfrench.co.uk</t>
  </si>
  <si>
    <t>St. Austell</t>
  </si>
  <si>
    <t>Unit 1 Bayview House, St. Austell Enterprise Park</t>
  </si>
  <si>
    <t>Treverbyn Road, Carclaze</t>
  </si>
  <si>
    <t>PL25 4EJ</t>
  </si>
  <si>
    <t>Newquay</t>
  </si>
  <si>
    <t>25 Cliff Road</t>
  </si>
  <si>
    <t>TR7 2NE</t>
  </si>
  <si>
    <t>Bates Solicitors Limited</t>
  </si>
  <si>
    <t>43 Essex Street</t>
  </si>
  <si>
    <t>WC2R 3JF</t>
  </si>
  <si>
    <t>ikmacdonald@batessolicitors.co.uk</t>
  </si>
  <si>
    <t>Fleet</t>
  </si>
  <si>
    <t>67 Fleet Road</t>
  </si>
  <si>
    <t>GU51 3PJ</t>
  </si>
  <si>
    <t>fleet@batessolicitors.co.uk</t>
  </si>
  <si>
    <t>Weybridge</t>
  </si>
  <si>
    <t>111 Queens Road</t>
  </si>
  <si>
    <t>KT13 9UW</t>
  </si>
  <si>
    <t>weybridge@batessolicitors.co.uk</t>
  </si>
  <si>
    <t>Philips House, Station Road</t>
  </si>
  <si>
    <t>Hook</t>
  </si>
  <si>
    <t>RG27 9HD</t>
  </si>
  <si>
    <t>hook@batessolicitors.co.uk</t>
  </si>
  <si>
    <t>Odiham</t>
  </si>
  <si>
    <t>Suite 2, Fountains Mall, High Street</t>
  </si>
  <si>
    <t>RG29 1LP</t>
  </si>
  <si>
    <t>odiham@batessolicitors.co.uk</t>
  </si>
  <si>
    <t>Leigh</t>
  </si>
  <si>
    <t>First Floor, 1663 London Road</t>
  </si>
  <si>
    <t>SS9 2SH</t>
  </si>
  <si>
    <t>leigh@batessolicitors.co.uk</t>
  </si>
  <si>
    <t>Hartley Wintney</t>
  </si>
  <si>
    <t xml:space="preserve">Sanctuary House, Barnwells Court  </t>
  </si>
  <si>
    <t>RG27 8AY</t>
  </si>
  <si>
    <t>hw@batessolicitors.co.uk</t>
  </si>
  <si>
    <t>8 Cross Street</t>
  </si>
  <si>
    <t>RG21 7DQ</t>
  </si>
  <si>
    <t>basingstoke@batessolicitors.co.uk</t>
  </si>
  <si>
    <t>Streeter Marshall LLP</t>
  </si>
  <si>
    <t>74 High Street</t>
  </si>
  <si>
    <t>Croydon</t>
  </si>
  <si>
    <t>CR9 2UU</t>
  </si>
  <si>
    <t>tfarrington@streetermarshall.com</t>
  </si>
  <si>
    <t>12 Purley Parade</t>
  </si>
  <si>
    <t>Purley</t>
  </si>
  <si>
    <t>CR8 2AB</t>
  </si>
  <si>
    <t>416 Limpsfield Road</t>
  </si>
  <si>
    <t>Warlingham</t>
  </si>
  <si>
    <t>CR6 9LA</t>
  </si>
  <si>
    <t>Coulsdon</t>
  </si>
  <si>
    <t>144-146 Brighton Road</t>
  </si>
  <si>
    <t>CR5 2ND</t>
  </si>
  <si>
    <t>Oxted</t>
  </si>
  <si>
    <t>35-37 Station Road West</t>
  </si>
  <si>
    <t>RH8 9EE</t>
  </si>
  <si>
    <t>Foot Anstey LLP</t>
  </si>
  <si>
    <t>2 Glass Wharf</t>
  </si>
  <si>
    <t>BS2 0EL</t>
  </si>
  <si>
    <t>sharedservices.fileopening@footanstey.com</t>
  </si>
  <si>
    <t>Salt Quay House, 4 North East Quay</t>
  </si>
  <si>
    <t>Sutton Harbour</t>
  </si>
  <si>
    <t>PL4 0BN</t>
  </si>
  <si>
    <t>Senate Court</t>
  </si>
  <si>
    <t>EX1 1NT</t>
  </si>
  <si>
    <t>Offices 205 and 208 Coinage House</t>
  </si>
  <si>
    <t>2 Princes Street</t>
  </si>
  <si>
    <t xml:space="preserve">TR1 2ES </t>
  </si>
  <si>
    <t xml:space="preserve">contact@footanstey.com </t>
  </si>
  <si>
    <t>The Quad, Blackbrook Park Avenue</t>
  </si>
  <si>
    <t>Blackbrook Business Park</t>
  </si>
  <si>
    <t>78 - 80  Cornhill</t>
  </si>
  <si>
    <t xml:space="preserve">EC3V 3QQ </t>
  </si>
  <si>
    <t>White Building, 1-4 Cumberland Place</t>
  </si>
  <si>
    <t>SO15 2NP</t>
  </si>
  <si>
    <t>Barnes and Partners</t>
  </si>
  <si>
    <t>90 Silver Street</t>
  </si>
  <si>
    <t>Enfield</t>
  </si>
  <si>
    <t>EN1 3EP</t>
  </si>
  <si>
    <t>s.wright@barnesandpartners.com</t>
  </si>
  <si>
    <t>103 Crossbrook Street</t>
  </si>
  <si>
    <t>Cheshunt</t>
  </si>
  <si>
    <t>EN8 8LY</t>
  </si>
  <si>
    <t xml:space="preserve">s.wright@barnesandpartners.com </t>
  </si>
  <si>
    <t>30 Broadway Parade</t>
  </si>
  <si>
    <t>Tottenham Lane</t>
  </si>
  <si>
    <t>N8 9DB</t>
  </si>
  <si>
    <t>5 West Square</t>
  </si>
  <si>
    <t>The High</t>
  </si>
  <si>
    <t>CM20 1JJ</t>
  </si>
  <si>
    <t>Michelmores LLP</t>
  </si>
  <si>
    <t>Woodwater House</t>
  </si>
  <si>
    <t>Pynes Hill</t>
  </si>
  <si>
    <t>EX2 5WR</t>
  </si>
  <si>
    <t>louise.peters@michelmores.com</t>
  </si>
  <si>
    <t>Harston</t>
  </si>
  <si>
    <t>Church Street</t>
  </si>
  <si>
    <t>Sidmouth</t>
  </si>
  <si>
    <t>EX10 8LT</t>
  </si>
  <si>
    <t>pam.gardner@michelmores.com</t>
  </si>
  <si>
    <t>10 Victoria Street</t>
  </si>
  <si>
    <t>BS1 6BN</t>
  </si>
  <si>
    <t>enquiries@michelmores.com</t>
  </si>
  <si>
    <t>100 Liverpool Street</t>
  </si>
  <si>
    <t>EC2M 2AT</t>
  </si>
  <si>
    <t>Eagle Tower</t>
  </si>
  <si>
    <t>Montpellier Drive</t>
  </si>
  <si>
    <t>GL50 1TA</t>
  </si>
  <si>
    <t xml:space="preserve">20 Station Road </t>
  </si>
  <si>
    <t>CB1 2JD</t>
  </si>
  <si>
    <t>Howell-Jones LLP</t>
  </si>
  <si>
    <t>75 Surbiton Road</t>
  </si>
  <si>
    <t>Kingston-Upon-Thames</t>
  </si>
  <si>
    <t>KT1 2AF</t>
  </si>
  <si>
    <t>amira.hughes@howell-jones.com</t>
  </si>
  <si>
    <t>68 High Street</t>
  </si>
  <si>
    <t>Walton-on-Thames</t>
  </si>
  <si>
    <t>KT12 1DT</t>
  </si>
  <si>
    <t>Flint House</t>
  </si>
  <si>
    <t>52 High Street</t>
  </si>
  <si>
    <t>KT22 8AJ</t>
  </si>
  <si>
    <t>Cheam</t>
  </si>
  <si>
    <t>10 Upper Mulgrave Road</t>
  </si>
  <si>
    <t>SM2 7BA</t>
  </si>
  <si>
    <t>381 Ewell Road</t>
  </si>
  <si>
    <t>Tolworth</t>
  </si>
  <si>
    <t>KT6 7DF</t>
  </si>
  <si>
    <t>594-596 Kingston Road</t>
  </si>
  <si>
    <t>Raynes Park</t>
  </si>
  <si>
    <t>SW20 8DN</t>
  </si>
  <si>
    <t>HCB Widdows Mason Limited</t>
  </si>
  <si>
    <t>Unit 4, Ashtree Court</t>
  </si>
  <si>
    <t>Cardiff Gate Business Park</t>
  </si>
  <si>
    <t>CF23 8RW</t>
  </si>
  <si>
    <t>lmscardiff@hcbgroup.com</t>
  </si>
  <si>
    <t>Aberdare</t>
  </si>
  <si>
    <t>27A High Street</t>
  </si>
  <si>
    <t>CF44 7AA</t>
  </si>
  <si>
    <t>aberdare@hcbgroup.com</t>
  </si>
  <si>
    <t>Citibase, Aztec Centre, Aztec West</t>
  </si>
  <si>
    <t>Almondsbury</t>
  </si>
  <si>
    <t>BS32 4TD</t>
  </si>
  <si>
    <t>bristol@hcbgroup.com</t>
  </si>
  <si>
    <t>Riverside House, Normandy Road</t>
  </si>
  <si>
    <t>SA1 2JA</t>
  </si>
  <si>
    <t>Mortons Law Limited</t>
  </si>
  <si>
    <t>The Yard, Gill Bridge Avenue</t>
  </si>
  <si>
    <t>SUNDERLAND</t>
  </si>
  <si>
    <t>SR1 3AW</t>
  </si>
  <si>
    <t>aashcroft@mortons-solicitors.com</t>
  </si>
  <si>
    <t>11 Marlborough</t>
  </si>
  <si>
    <t>Seaham</t>
  </si>
  <si>
    <t>SR7 7SA</t>
  </si>
  <si>
    <t>Houghton House</t>
  </si>
  <si>
    <t>Belmont Business Park</t>
  </si>
  <si>
    <t xml:space="preserve">Durham </t>
  </si>
  <si>
    <t>DH1 1TW</t>
  </si>
  <si>
    <t xml:space="preserve">Howard Kennedy LLP </t>
  </si>
  <si>
    <t>No.1 London Bridge</t>
  </si>
  <si>
    <t>SE1 9BG</t>
  </si>
  <si>
    <t>christie.thake@howardkennedy.com</t>
  </si>
  <si>
    <t>Pickerings Solicitors (Tamworth) Limited</t>
  </si>
  <si>
    <t>Etchell House, Etchell Court</t>
  </si>
  <si>
    <t>Bonehill Road</t>
  </si>
  <si>
    <t>Tamworth</t>
  </si>
  <si>
    <t>B78 3HQ</t>
  </si>
  <si>
    <t>mail@pickerings-solicitors.com</t>
  </si>
  <si>
    <t>David W Harris &amp; Co</t>
  </si>
  <si>
    <t>Units 1-2, Magden Park</t>
  </si>
  <si>
    <t>Green Meadow</t>
  </si>
  <si>
    <t>Llantrisant</t>
  </si>
  <si>
    <t>CF72 8XT</t>
  </si>
  <si>
    <t>nia.gittins@dwharris.co.uk</t>
  </si>
  <si>
    <t>Talbot Green</t>
  </si>
  <si>
    <t>Pontypridd</t>
  </si>
  <si>
    <t>24-25 Gelliwastad Road</t>
  </si>
  <si>
    <t>CF37 2BW</t>
  </si>
  <si>
    <t>rhunedd.thomas@dwharris.co.uk</t>
  </si>
  <si>
    <t>Ground Floor, Clipper House</t>
  </si>
  <si>
    <t xml:space="preserve">Quay West, </t>
  </si>
  <si>
    <t>Quay Parade</t>
  </si>
  <si>
    <t>SA1 1SR</t>
  </si>
  <si>
    <t>kate.clarke@dwharris.co.uk</t>
  </si>
  <si>
    <t>Lucas &amp; Wyllys</t>
  </si>
  <si>
    <t>11 Queen Street</t>
  </si>
  <si>
    <t>Great Yarmouth</t>
  </si>
  <si>
    <t>NR30 2QP</t>
  </si>
  <si>
    <t>amy.church@lucasandwyllys.co.uk</t>
  </si>
  <si>
    <t>Gorleston</t>
  </si>
  <si>
    <t>61/62 Bells Road</t>
  </si>
  <si>
    <t>NR31 6AQ</t>
  </si>
  <si>
    <t>gorleston@lucasandwyllys.co.uk</t>
  </si>
  <si>
    <t>Unit N8 Blofield Business Centre</t>
  </si>
  <si>
    <t>Woodbastwick Road, Blofield Heath</t>
  </si>
  <si>
    <t>NR13 4RR</t>
  </si>
  <si>
    <t>blofield@lucasandwyllys.co.uk</t>
  </si>
  <si>
    <t>Blackhurst Swainson Goodier LLP</t>
  </si>
  <si>
    <t>3 &amp; 4 Aalborg Square</t>
  </si>
  <si>
    <t>LA1 1BJ</t>
  </si>
  <si>
    <t>pw@bsglaw.co.uk</t>
  </si>
  <si>
    <t>5 Winckley Street</t>
  </si>
  <si>
    <t>PR1 2AA</t>
  </si>
  <si>
    <t>Archer Rusby Solicitors Limited</t>
  </si>
  <si>
    <t>3 Norfolk Court</t>
  </si>
  <si>
    <t>Norfolk Road</t>
  </si>
  <si>
    <t>Rickmansworth</t>
  </si>
  <si>
    <t>WD3 1LA</t>
  </si>
  <si>
    <t>m.rusby@archerrusby.com</t>
  </si>
  <si>
    <t>Market Street Law Limited</t>
  </si>
  <si>
    <t>33 Market Street</t>
  </si>
  <si>
    <t>Shaw</t>
  </si>
  <si>
    <t>Oldham</t>
  </si>
  <si>
    <t>OL2 8NR</t>
  </si>
  <si>
    <t>kim.spencer@rossendalelaw.co.uk</t>
  </si>
  <si>
    <t>Whitworth</t>
  </si>
  <si>
    <t>501 Market Street</t>
  </si>
  <si>
    <t>OL12 8QN</t>
  </si>
  <si>
    <t>kim.spencer@lancslaw.co.uk</t>
  </si>
  <si>
    <t>Hart Reade LLP</t>
  </si>
  <si>
    <t xml:space="preserve">Old Manor House, </t>
  </si>
  <si>
    <t>Market Street</t>
  </si>
  <si>
    <t>Hailsham</t>
  </si>
  <si>
    <t>BN27 2AE</t>
  </si>
  <si>
    <t>cclarke@hartreade.co.uk</t>
  </si>
  <si>
    <t>104 South Street</t>
  </si>
  <si>
    <t>BN21 4LW</t>
  </si>
  <si>
    <t>Polegate</t>
  </si>
  <si>
    <t>55 High Street</t>
  </si>
  <si>
    <t>BN26 6AL</t>
  </si>
  <si>
    <t>Photiades Solicitors Limited</t>
  </si>
  <si>
    <t>Longmire House</t>
  </si>
  <si>
    <t>36-38 London Road</t>
  </si>
  <si>
    <t>AL1 1NG</t>
  </si>
  <si>
    <t>willharvey@photiades.com</t>
  </si>
  <si>
    <t>Metcalfe David Eyres</t>
  </si>
  <si>
    <t>Unit 8 Acorn Business Park</t>
  </si>
  <si>
    <t>Woodseats Close</t>
  </si>
  <si>
    <t>S8 0TB</t>
  </si>
  <si>
    <t>laura@metcalfedavideyres.co.uk</t>
  </si>
  <si>
    <t>Killamarsh</t>
  </si>
  <si>
    <t>Unit I, 157/163 Sheffield Road</t>
  </si>
  <si>
    <t>S21 1DY</t>
  </si>
  <si>
    <t>joanne@metcalfedavideyres.co.uk</t>
  </si>
  <si>
    <t>Birketts LLP</t>
  </si>
  <si>
    <t>Providence House</t>
  </si>
  <si>
    <t>141-145 Princes Street</t>
  </si>
  <si>
    <t>IP1 1QJ</t>
  </si>
  <si>
    <t>Helen-Bartholomew@birketts.co.uk</t>
  </si>
  <si>
    <t>Kingfisher House</t>
  </si>
  <si>
    <t>1 Gilders Way</t>
  </si>
  <si>
    <t>NR3 1UB</t>
  </si>
  <si>
    <t>22 Station Road</t>
  </si>
  <si>
    <t>Brierly Place</t>
  </si>
  <si>
    <t>New London Road</t>
  </si>
  <si>
    <t>CM2 0AP</t>
  </si>
  <si>
    <t>1 London Wall</t>
  </si>
  <si>
    <t>EC2Y 5EA</t>
  </si>
  <si>
    <t>Sevenoaks</t>
  </si>
  <si>
    <t>One Suffolk Way</t>
  </si>
  <si>
    <t>TN13 1YL</t>
  </si>
  <si>
    <t>E Q, 111 Victoria Street</t>
  </si>
  <si>
    <t>BS1 6AX</t>
  </si>
  <si>
    <t>Nigel R Davis Limited</t>
  </si>
  <si>
    <t>3-4 Spire House</t>
  </si>
  <si>
    <t>Waterside Business Park</t>
  </si>
  <si>
    <t>Ashbourne</t>
  </si>
  <si>
    <t>DE6 1DG</t>
  </si>
  <si>
    <t>matthewelias@agriculturalsolicitors.co.uk</t>
  </si>
  <si>
    <t>58 High Street</t>
  </si>
  <si>
    <t>Uttoxeter</t>
  </si>
  <si>
    <t>ST14 7JD</t>
  </si>
  <si>
    <t>helenhughes@agriculturalsolicitors.co.uk</t>
  </si>
  <si>
    <t>Wedlake Bell LLP</t>
  </si>
  <si>
    <t>71 Queen Victoria Street</t>
  </si>
  <si>
    <t>EC4V 4AY</t>
  </si>
  <si>
    <t>smcgregor@wedlakebell.com</t>
  </si>
  <si>
    <t>Dollman &amp; Pritchard</t>
  </si>
  <si>
    <t>8 The Square</t>
  </si>
  <si>
    <t>Caterham</t>
  </si>
  <si>
    <t>CR3 6XS</t>
  </si>
  <si>
    <t>officemanager@dollman.co.uk</t>
  </si>
  <si>
    <t>79A Park Lane</t>
  </si>
  <si>
    <t>CR0 1JG</t>
  </si>
  <si>
    <t>Foreman Laws LLP</t>
  </si>
  <si>
    <t>10 Parkway</t>
  </si>
  <si>
    <t>AL8 6HG</t>
  </si>
  <si>
    <t>craig.rennie@hrjforemanlaws.co.uk</t>
  </si>
  <si>
    <t>Hitchin</t>
  </si>
  <si>
    <t>25 Bancroft</t>
  </si>
  <si>
    <t>SG5 1JW</t>
  </si>
  <si>
    <t>Morecrofts LLP</t>
  </si>
  <si>
    <t>Cotton Exchange</t>
  </si>
  <si>
    <t>Old Hall Street</t>
  </si>
  <si>
    <t>L3 9LQ</t>
  </si>
  <si>
    <t>pjp@morecrofts.co.uk</t>
  </si>
  <si>
    <t>Woolton</t>
  </si>
  <si>
    <t>7 Church Road</t>
  </si>
  <si>
    <t>L25 5JE</t>
  </si>
  <si>
    <t>jdal@morecrofts.co.uk</t>
  </si>
  <si>
    <t>Allerton</t>
  </si>
  <si>
    <t>32 Allerton Road</t>
  </si>
  <si>
    <t>L18 1LN</t>
  </si>
  <si>
    <t xml:space="preserve">pjp@morecrofts.co.uk </t>
  </si>
  <si>
    <t>Crosby</t>
  </si>
  <si>
    <t>2 Crown Buildings, Liverpool Road</t>
  </si>
  <si>
    <t xml:space="preserve">Crosby </t>
  </si>
  <si>
    <t xml:space="preserve">Merseyside </t>
  </si>
  <si>
    <t>L23 5SR</t>
  </si>
  <si>
    <t>30 Hamilton Square</t>
  </si>
  <si>
    <t>Birkenhead</t>
  </si>
  <si>
    <t>CH41 6AZ</t>
  </si>
  <si>
    <t>Prescot</t>
  </si>
  <si>
    <t>3 Warrington Road</t>
  </si>
  <si>
    <t>L34 5QX</t>
  </si>
  <si>
    <t>AJW@morecrofts.co.uk</t>
  </si>
  <si>
    <t>Perfectly Legal LLP</t>
  </si>
  <si>
    <t>10 Richmond Hill</t>
  </si>
  <si>
    <t>TW10 6QX</t>
  </si>
  <si>
    <t>rhapsody@perfectlylegalllp.co.uk</t>
  </si>
  <si>
    <t>KINGSWOOD</t>
  </si>
  <si>
    <t>8 WATERHOUSE LANE</t>
  </si>
  <si>
    <t>KT20 6EB</t>
  </si>
  <si>
    <t>New Horizons Property &amp; Probate Lawyers Ltd</t>
  </si>
  <si>
    <t>Wye Lodge,</t>
  </si>
  <si>
    <t>66 High Street,</t>
  </si>
  <si>
    <t>Stevenage,</t>
  </si>
  <si>
    <t>Hertfordshire,</t>
  </si>
  <si>
    <t>SG1 3EA</t>
  </si>
  <si>
    <t>Stefanie@friislaw.co.uk</t>
  </si>
  <si>
    <t>50 Station Road</t>
  </si>
  <si>
    <t>Letchworth Garden City</t>
  </si>
  <si>
    <t>SG6 3BE</t>
  </si>
  <si>
    <t>greg@friislaw.co.uk</t>
  </si>
  <si>
    <t>Herrington Carmichael LLP</t>
  </si>
  <si>
    <t>Brennan House</t>
  </si>
  <si>
    <t>Farnborough Aerospace Centre Business Park</t>
  </si>
  <si>
    <t>GU14 6XR</t>
  </si>
  <si>
    <t>1allCompliance365@herrington-carmichael.com</t>
  </si>
  <si>
    <t>Maples Solicitors LLP</t>
  </si>
  <si>
    <t>23 New Road</t>
  </si>
  <si>
    <t>Spalding</t>
  </si>
  <si>
    <t>PE11 1DH</t>
  </si>
  <si>
    <t>chris.ayre@maplessolicitors.com</t>
  </si>
  <si>
    <t>Askern Road</t>
  </si>
  <si>
    <t>Carcroft</t>
  </si>
  <si>
    <t>DN6 8DG</t>
  </si>
  <si>
    <t>Riseam Sharples</t>
  </si>
  <si>
    <t>2 Tower Street</t>
  </si>
  <si>
    <t>WC2H 9NP</t>
  </si>
  <si>
    <t>rsteam@rs-law.co.uk</t>
  </si>
  <si>
    <t>Pearson Caulfield Ltd</t>
  </si>
  <si>
    <t>Newgate Chambers</t>
  </si>
  <si>
    <t>1 Newgate Street</t>
  </si>
  <si>
    <t>NE1 5RE</t>
  </si>
  <si>
    <t>sskentelbery@pearson-caulfield.co.uk</t>
  </si>
  <si>
    <t>Boulter &amp; Co LLP</t>
  </si>
  <si>
    <t>First Floor, 11-19 Park Road</t>
  </si>
  <si>
    <t>Crouch End</t>
  </si>
  <si>
    <t>N8 8TE</t>
  </si>
  <si>
    <t>N8office@boulterandco.com</t>
  </si>
  <si>
    <t>Suite 6 2nd Floor, 313-314 Upper Street</t>
  </si>
  <si>
    <t>N1 2XQ</t>
  </si>
  <si>
    <t>N1office@boulterandco.com</t>
  </si>
  <si>
    <t>Everys Solicitors LLP</t>
  </si>
  <si>
    <t>Hertford House</t>
  </si>
  <si>
    <t>charles.aslett@everys.co.uk</t>
  </si>
  <si>
    <t>Honiton</t>
  </si>
  <si>
    <t>The Laurels</t>
  </si>
  <si>
    <t>46 New Street</t>
  </si>
  <si>
    <t>EX14 1BY</t>
  </si>
  <si>
    <t>Exmouth</t>
  </si>
  <si>
    <t>Magnolia house</t>
  </si>
  <si>
    <t>EX8 1HQ</t>
  </si>
  <si>
    <t>104 High Street</t>
  </si>
  <si>
    <t>EX10 8EF</t>
  </si>
  <si>
    <t>Seaton</t>
  </si>
  <si>
    <t>49 Harbour Road</t>
  </si>
  <si>
    <t>EX12 2LX</t>
  </si>
  <si>
    <t>5 Heron Gate, Office Park</t>
  </si>
  <si>
    <t>Hankridge Way</t>
  </si>
  <si>
    <t>TA1 2LR</t>
  </si>
  <si>
    <t>Stokes House, 19-23 Market Square</t>
  </si>
  <si>
    <t>TA18 7LH</t>
  </si>
  <si>
    <t>Tiverton</t>
  </si>
  <si>
    <t>5A Oaklands Court, Tiverton Way</t>
  </si>
  <si>
    <t>Tiverton Business Park</t>
  </si>
  <si>
    <t>EX16 6TG</t>
  </si>
  <si>
    <t>Buss Murton Law (South East) Limited</t>
  </si>
  <si>
    <t>Wallside House</t>
  </si>
  <si>
    <t>12 Mount Ephraim Road</t>
  </si>
  <si>
    <t>TN1 1EE</t>
  </si>
  <si>
    <t>djaswal@bussmurton.co.uk</t>
  </si>
  <si>
    <t>Clermont House, High Street</t>
  </si>
  <si>
    <t>Cranbrook</t>
  </si>
  <si>
    <t>TN17 3DN</t>
  </si>
  <si>
    <t>kcarter@bussmurton.co.uk</t>
  </si>
  <si>
    <t>Crown Lodge</t>
  </si>
  <si>
    <t>Cantelupe Road</t>
  </si>
  <si>
    <t>East Grinstead</t>
  </si>
  <si>
    <t>RH19 3BJ</t>
  </si>
  <si>
    <t>Cuff and Gough LLP</t>
  </si>
  <si>
    <t>Lamborn Place</t>
  </si>
  <si>
    <t>26 High Street</t>
  </si>
  <si>
    <t>debbie@cuffandgough.com</t>
  </si>
  <si>
    <t>Berry &amp; Lamberts LLP</t>
  </si>
  <si>
    <t>11 Church Road</t>
  </si>
  <si>
    <t>TN1 1JA</t>
  </si>
  <si>
    <t>adminproperty@berryandlamberts.co.uk</t>
  </si>
  <si>
    <t>Hearts of Oak House, First Floor, 4 Pembroke Road</t>
  </si>
  <si>
    <t xml:space="preserve">Sevenoaks </t>
  </si>
  <si>
    <t>TN13 1XR</t>
  </si>
  <si>
    <t xml:space="preserve">60 Commercial Road </t>
  </si>
  <si>
    <t>Paddock Wood</t>
  </si>
  <si>
    <t>Tonbridge</t>
  </si>
  <si>
    <t>TN12 6DP</t>
  </si>
  <si>
    <t>National Law Partners Limited</t>
  </si>
  <si>
    <t>746 Finchley Road</t>
  </si>
  <si>
    <t>NW11 7TH</t>
  </si>
  <si>
    <t>lms@gadlegal.co.uk</t>
  </si>
  <si>
    <t>Penny Lane</t>
  </si>
  <si>
    <t>123 Penny Lane</t>
  </si>
  <si>
    <t>L18 1DF</t>
  </si>
  <si>
    <t xml:space="preserve">LMS@gadlegal.co.uk </t>
  </si>
  <si>
    <t>20-24 Mathew Street</t>
  </si>
  <si>
    <t>L2 6RE</t>
  </si>
  <si>
    <t>West Kirby</t>
  </si>
  <si>
    <t>19-25 The Crescent</t>
  </si>
  <si>
    <t>Wirral</t>
  </si>
  <si>
    <t>CH48 4HL</t>
  </si>
  <si>
    <t>PGS Law LLP</t>
  </si>
  <si>
    <t>22 Denmark Centre</t>
  </si>
  <si>
    <t>NE33 2LR</t>
  </si>
  <si>
    <t>ks@pgslaw.co.uk</t>
  </si>
  <si>
    <t>Bridge McFarland LLP</t>
  </si>
  <si>
    <t>19 South St Mary's Gate</t>
  </si>
  <si>
    <t>DN31 1JE</t>
  </si>
  <si>
    <t>nat@bmcf.co.uk</t>
  </si>
  <si>
    <t xml:space="preserve">Sibthorp House </t>
  </si>
  <si>
    <t>351-355 High Street</t>
  </si>
  <si>
    <t>LN5 7BN</t>
  </si>
  <si>
    <t>9 Cornmarket</t>
  </si>
  <si>
    <t>Louth</t>
  </si>
  <si>
    <t>LN11 9PY</t>
  </si>
  <si>
    <t>26 Market Place</t>
  </si>
  <si>
    <t>Market Rasen</t>
  </si>
  <si>
    <t>LN8 3HL</t>
  </si>
  <si>
    <t>Suite 1, Marina Court, Castle Street</t>
  </si>
  <si>
    <t>HU1 1TJ</t>
  </si>
  <si>
    <t>29 Hull Road</t>
  </si>
  <si>
    <t>Anlaby</t>
  </si>
  <si>
    <t>HU10 6SP</t>
  </si>
  <si>
    <t>11 Bigby Street</t>
  </si>
  <si>
    <t>DN20 8EP</t>
  </si>
  <si>
    <t xml:space="preserve">nat@bmcf.co.uk </t>
  </si>
  <si>
    <t>Phillips</t>
  </si>
  <si>
    <t>6 Wood Street</t>
  </si>
  <si>
    <t>Mansfield</t>
  </si>
  <si>
    <t>NG18 1QA</t>
  </si>
  <si>
    <t>gsudnik@phillips-solicitors.co.uk</t>
  </si>
  <si>
    <t>First Floor, 9-11 Patchwork Row</t>
  </si>
  <si>
    <t>Shirebrook</t>
  </si>
  <si>
    <t>NG20 8AL</t>
  </si>
  <si>
    <t>Brearleys</t>
  </si>
  <si>
    <t>4 6 &amp; 6a Cheapside</t>
  </si>
  <si>
    <t>Cleckheaton</t>
  </si>
  <si>
    <t>BD19 5AF</t>
  </si>
  <si>
    <t>jessicafry@brearleyssolicitors.com</t>
  </si>
  <si>
    <t>12 King Street</t>
  </si>
  <si>
    <t>Brighouse</t>
  </si>
  <si>
    <t>HD6 1NX</t>
  </si>
  <si>
    <t>10 Market Place</t>
  </si>
  <si>
    <t>WF17 9EL</t>
  </si>
  <si>
    <t>1 Brunswick Street</t>
  </si>
  <si>
    <t>Batley</t>
  </si>
  <si>
    <t>WF17 5DT</t>
  </si>
  <si>
    <t>62b Queen Street</t>
  </si>
  <si>
    <t>Morley</t>
  </si>
  <si>
    <t>LS27 9BP</t>
  </si>
  <si>
    <t>30 Park Square West</t>
  </si>
  <si>
    <t>LS1 2PF</t>
  </si>
  <si>
    <t>Spencer Skuse &amp; Potter Limited</t>
  </si>
  <si>
    <t>17 Lambourne Crescent</t>
  </si>
  <si>
    <t>CF14 5GF</t>
  </si>
  <si>
    <t>jmpotter@spencerskuse.com</t>
  </si>
  <si>
    <t>60 St Martins Lane</t>
  </si>
  <si>
    <t>WC2N 4JS</t>
  </si>
  <si>
    <t>WHN Solicitors Limited</t>
  </si>
  <si>
    <t>1A Strawberry Bank</t>
  </si>
  <si>
    <t>Preston New Road</t>
  </si>
  <si>
    <t>Blackburn</t>
  </si>
  <si>
    <t>BB2 6AA</t>
  </si>
  <si>
    <t>jennifer.prysiaznyj@whnsolicitors.co.uk</t>
  </si>
  <si>
    <t>West View, Princess Street</t>
  </si>
  <si>
    <t>Haslingden</t>
  </si>
  <si>
    <t>Rossendale</t>
  </si>
  <si>
    <t>BB4 6NW</t>
  </si>
  <si>
    <t xml:space="preserve">12-14 Manchester Road </t>
  </si>
  <si>
    <t>BL9 0DX</t>
  </si>
  <si>
    <t>61 Bank Street</t>
  </si>
  <si>
    <t>Rawtenstall</t>
  </si>
  <si>
    <t>BB4 7QN</t>
  </si>
  <si>
    <t xml:space="preserve">17 Cannon Street </t>
  </si>
  <si>
    <t xml:space="preserve">Accrington </t>
  </si>
  <si>
    <t>BB5 1NW</t>
  </si>
  <si>
    <t>Bancroft Chambers, 6-8 Town Hall Street</t>
  </si>
  <si>
    <t>Great Harwood</t>
  </si>
  <si>
    <t>BB6 7HB</t>
  </si>
  <si>
    <t>3-5 Irwell Terrace</t>
  </si>
  <si>
    <t>Bacup</t>
  </si>
  <si>
    <t>OL13 9AW</t>
  </si>
  <si>
    <t>31 King Street</t>
  </si>
  <si>
    <t>Clitheroe</t>
  </si>
  <si>
    <t>BB7 2EU</t>
  </si>
  <si>
    <t>Burnetts Solicitors LLP</t>
  </si>
  <si>
    <t>Victoria House</t>
  </si>
  <si>
    <t>Wavell Drive</t>
  </si>
  <si>
    <t>CA1 2ST</t>
  </si>
  <si>
    <t>lenderpanels@burnetts.co.uk</t>
  </si>
  <si>
    <t>3a Lakeland Business Park</t>
  </si>
  <si>
    <t>Lamplugh Road</t>
  </si>
  <si>
    <t>Cockermouth</t>
  </si>
  <si>
    <t>CA13 0QT</t>
  </si>
  <si>
    <t>kah@burnetts.co.uk</t>
  </si>
  <si>
    <t>Jackson Lees Group Ltd</t>
  </si>
  <si>
    <t>3rd Floor Walker House</t>
  </si>
  <si>
    <t>ejjones@jacksonlees.co.uk</t>
  </si>
  <si>
    <t>Heswall</t>
  </si>
  <si>
    <t>90/92 Telegraph Rd</t>
  </si>
  <si>
    <t>CH60 0AQ</t>
  </si>
  <si>
    <t>Hoylake</t>
  </si>
  <si>
    <t>3-4 The Quadrant</t>
  </si>
  <si>
    <t>CH47 2EE</t>
  </si>
  <si>
    <t>32 Botanic Road</t>
  </si>
  <si>
    <t>Southport</t>
  </si>
  <si>
    <t>PR9 7NG</t>
  </si>
  <si>
    <t>Harold Benjamin Solicitors Limited</t>
  </si>
  <si>
    <t>Hygeia Building, 66-68 College Road</t>
  </si>
  <si>
    <t>HA1 1BE</t>
  </si>
  <si>
    <t>sharan.george@haroldbenjamin.com</t>
  </si>
  <si>
    <t>60 Queen Anne Street</t>
  </si>
  <si>
    <t>W1G 8HP</t>
  </si>
  <si>
    <t>enquiries@haroldbenjamin.com</t>
  </si>
  <si>
    <t>Forsters LLP</t>
  </si>
  <si>
    <t>22 Baker Street</t>
  </si>
  <si>
    <t>W1U 3BW</t>
  </si>
  <si>
    <t>lucy.barber@forsters.co.uk</t>
  </si>
  <si>
    <t>Lux Law Limited</t>
  </si>
  <si>
    <t>The Triangle, 148 Rochford Way</t>
  </si>
  <si>
    <t>Frinton-on-Sea</t>
  </si>
  <si>
    <t>CO13 0AZ</t>
  </si>
  <si>
    <t>ann@luxlaw.co.uk</t>
  </si>
  <si>
    <t>KWW</t>
  </si>
  <si>
    <t>70 Walton Road</t>
  </si>
  <si>
    <t>East Molesey</t>
  </si>
  <si>
    <t>KT8 0DL</t>
  </si>
  <si>
    <t xml:space="preserve"> s.sole@kww.co.uk</t>
  </si>
  <si>
    <t>Symons, Gay &amp; Leland LLP</t>
  </si>
  <si>
    <t>91a South Street</t>
  </si>
  <si>
    <t>RM1 1PA</t>
  </si>
  <si>
    <t>louise@symonsgayandleland.co.uk</t>
  </si>
  <si>
    <t>Cook &amp; Talbot Limited</t>
  </si>
  <si>
    <t>Ground Floor, The Old Courthouse, 2a Albert Road</t>
  </si>
  <si>
    <t>PR9 0LE</t>
  </si>
  <si>
    <t>john.wroblewski@cookandtalbot.co.uk</t>
  </si>
  <si>
    <t>Minahan Hirst &amp; Co Limited</t>
  </si>
  <si>
    <t>33 Station Road</t>
  </si>
  <si>
    <t>Cheadle Hulme</t>
  </si>
  <si>
    <t>SK8 5AF</t>
  </si>
  <si>
    <t>solicitors@minahan-hirst.co.uk</t>
  </si>
  <si>
    <t>Gordons LLP</t>
  </si>
  <si>
    <t>1 New Augustus Street</t>
  </si>
  <si>
    <t>Justene.baker@gordonsllp.com</t>
  </si>
  <si>
    <t>Riverside West</t>
  </si>
  <si>
    <t>Whitehall Road</t>
  </si>
  <si>
    <t>LS1 4AW</t>
  </si>
  <si>
    <t>mail@gordonsllp.com</t>
  </si>
  <si>
    <t>M&amp;T Legal Services LLP</t>
  </si>
  <si>
    <t>3rd Floor, Westgate House</t>
  </si>
  <si>
    <t>Warwick</t>
  </si>
  <si>
    <t>CV34 4DH</t>
  </si>
  <si>
    <t>jamesw@moore-tibbits.co.uk</t>
  </si>
  <si>
    <t>Dickins Hopgood Chidley LLP</t>
  </si>
  <si>
    <t xml:space="preserve">The Old School House </t>
  </si>
  <si>
    <t xml:space="preserve">42 High Street </t>
  </si>
  <si>
    <t xml:space="preserve">Hungerford </t>
  </si>
  <si>
    <t xml:space="preserve">Berkshire </t>
  </si>
  <si>
    <t>RG17 0NF</t>
  </si>
  <si>
    <t>raram@dhc-solicitors.co.uk</t>
  </si>
  <si>
    <t>Debenhams Ottaway LLP</t>
  </si>
  <si>
    <t>Ivy House</t>
  </si>
  <si>
    <t>107 St Peters Street</t>
  </si>
  <si>
    <t>AL1 3EW</t>
  </si>
  <si>
    <t>nd@debenhamsottaway.co.uk</t>
  </si>
  <si>
    <t>The Corn Works</t>
  </si>
  <si>
    <t>Station Road</t>
  </si>
  <si>
    <t>Radlett</t>
  </si>
  <si>
    <t>WD7 8JY</t>
  </si>
  <si>
    <t>Conveyancing Direct Ltd</t>
  </si>
  <si>
    <t>Windmill Road</t>
  </si>
  <si>
    <t>St. Leonards-on-Sea</t>
  </si>
  <si>
    <t>TN38 9BY</t>
  </si>
  <si>
    <t>enquiries@cdpll.co.uk</t>
  </si>
  <si>
    <t>Gilbert Stephens LLP</t>
  </si>
  <si>
    <t>15-17 Southernhay East</t>
  </si>
  <si>
    <t>EX1 1QE</t>
  </si>
  <si>
    <t>ellenmedwin@gilbertstephens.co.uk</t>
  </si>
  <si>
    <t>Finnimore Industrial Estate</t>
  </si>
  <si>
    <t>Ottery St Mary</t>
  </si>
  <si>
    <t>EX11 1NR</t>
  </si>
  <si>
    <t>law@gilbertstephens.co.uk</t>
  </si>
  <si>
    <t>Okehampton</t>
  </si>
  <si>
    <t>9 Red Lion Yard</t>
  </si>
  <si>
    <t>EX20 1AW</t>
  </si>
  <si>
    <t>1 Westward Business Centre</t>
  </si>
  <si>
    <t>Mill Street</t>
  </si>
  <si>
    <t>Crediton</t>
  </si>
  <si>
    <t>EX17 1HB</t>
  </si>
  <si>
    <t>YVA Solicitors LLP</t>
  </si>
  <si>
    <t>Yva House, 811 High Road</t>
  </si>
  <si>
    <t>North Finchley</t>
  </si>
  <si>
    <t>N12 8JT</t>
  </si>
  <si>
    <t>info@yvasolicitors.com</t>
  </si>
  <si>
    <t>Sixth Floor, 16 Berkeley Street</t>
  </si>
  <si>
    <t>Mayfair</t>
  </si>
  <si>
    <t>W1J 8DZ</t>
  </si>
  <si>
    <t>Owen White &amp; Catlin LLP</t>
  </si>
  <si>
    <t>Gavel House</t>
  </si>
  <si>
    <t>90-92 High Street</t>
  </si>
  <si>
    <t>Feltham</t>
  </si>
  <si>
    <t>TW13 4ES</t>
  </si>
  <si>
    <t>edward.steele@owc.co.uk</t>
  </si>
  <si>
    <t>Barley Mow Centre, 10 Barley Mow Passage</t>
  </si>
  <si>
    <t>Chiswick</t>
  </si>
  <si>
    <t>W4 4PH</t>
  </si>
  <si>
    <t>Richard.Land@owc.co.uk</t>
  </si>
  <si>
    <t>Shepperton</t>
  </si>
  <si>
    <t>56 High Street</t>
  </si>
  <si>
    <t>TW17 9AY</t>
  </si>
  <si>
    <t>shepperton@owc.co.uk</t>
  </si>
  <si>
    <t>Esher</t>
  </si>
  <si>
    <t>North Lodge, Esher Park Avenue</t>
  </si>
  <si>
    <t>KT10 9NP</t>
  </si>
  <si>
    <t>esher@owc.co.uk</t>
  </si>
  <si>
    <t>Parker Bullen LLP</t>
  </si>
  <si>
    <t>45 Castle Street</t>
  </si>
  <si>
    <t>Salisbury</t>
  </si>
  <si>
    <t>SP1 3SS</t>
  </si>
  <si>
    <t>gbt@parkerbullen.com</t>
  </si>
  <si>
    <t>8 Newbury Street</t>
  </si>
  <si>
    <t>SP10 1DW</t>
  </si>
  <si>
    <t>Strong House, The Horsefair</t>
  </si>
  <si>
    <t>SO51 8EZ</t>
  </si>
  <si>
    <t>26/28 Commercial Road</t>
  </si>
  <si>
    <t>SO40 3BY</t>
  </si>
  <si>
    <t>Witney</t>
  </si>
  <si>
    <t>Wittas House, Two Rivers Industrial Estate</t>
  </si>
  <si>
    <t>Station Lane</t>
  </si>
  <si>
    <t>OX28 4BH</t>
  </si>
  <si>
    <t>Leadenhall Law Group Ltd</t>
  </si>
  <si>
    <t>Level 3 Townshend House</t>
  </si>
  <si>
    <t>30 Crown Road</t>
  </si>
  <si>
    <t>NR1 3DT</t>
  </si>
  <si>
    <t>michaelmcnally@leadenhalllawgroup.co.uk</t>
  </si>
  <si>
    <t>4 Eastcheap</t>
  </si>
  <si>
    <t>EC3M 1AE</t>
  </si>
  <si>
    <t>70 Gracechurch Street</t>
  </si>
  <si>
    <t>EC3V 0HR</t>
  </si>
  <si>
    <t>Hughes Paddison Limited</t>
  </si>
  <si>
    <t>10 Royal Crescent</t>
  </si>
  <si>
    <t>GL50 3DA</t>
  </si>
  <si>
    <t>jkr@hughes-paddison.co.uk</t>
  </si>
  <si>
    <t>George Davies &amp; Evans Ltd</t>
  </si>
  <si>
    <t>Castle Chambers</t>
  </si>
  <si>
    <t>Grosvenor Hill</t>
  </si>
  <si>
    <t>Cardigan</t>
  </si>
  <si>
    <t>Ceredigion</t>
  </si>
  <si>
    <t>SA43 1HX</t>
  </si>
  <si>
    <t>pam@georgedaviesandevans.co.uk</t>
  </si>
  <si>
    <t>Sycamore Street</t>
  </si>
  <si>
    <t>Newcastle Emlyn</t>
  </si>
  <si>
    <t>Carmarthenshire</t>
  </si>
  <si>
    <t>SA38 9AJ</t>
  </si>
  <si>
    <t>helen@wegsons.co.uk</t>
  </si>
  <si>
    <t>Peter Lynn and Partners</t>
  </si>
  <si>
    <t>2nd Floor Langdon House, Langdon Road</t>
  </si>
  <si>
    <t>Sa1 Swansea Waterfront</t>
  </si>
  <si>
    <t>SA1 8QY</t>
  </si>
  <si>
    <t>caesar.adere@plandp.co.uk</t>
  </si>
  <si>
    <t>Morriston</t>
  </si>
  <si>
    <t>109 Clase Road</t>
  </si>
  <si>
    <t>SA6 8DY</t>
  </si>
  <si>
    <t>info@peterlynnandpartners.co.uk</t>
  </si>
  <si>
    <t>Mumbles</t>
  </si>
  <si>
    <t>87 Newton Road</t>
  </si>
  <si>
    <t>SA3 4BN</t>
  </si>
  <si>
    <t>Pontardawe</t>
  </si>
  <si>
    <t>21 Holly Street</t>
  </si>
  <si>
    <t>SA8 4ET</t>
  </si>
  <si>
    <t>41 Heol Eglwys</t>
  </si>
  <si>
    <t>Ystradgynlais</t>
  </si>
  <si>
    <t>SA9 1EY</t>
  </si>
  <si>
    <t>143 Walter Road</t>
  </si>
  <si>
    <t>SA1 5RT</t>
  </si>
  <si>
    <t xml:space="preserve">Llanelli </t>
  </si>
  <si>
    <t>10-12 Queen Victoria Road</t>
  </si>
  <si>
    <t>SA15 2TL</t>
  </si>
  <si>
    <t>Gregory@plandp.co.uk</t>
  </si>
  <si>
    <t>Ammanford</t>
  </si>
  <si>
    <t>40/42 College Street</t>
  </si>
  <si>
    <t>SA18 3AF</t>
  </si>
  <si>
    <t>Gorseinon</t>
  </si>
  <si>
    <t>16-18 Pontarddulais Road</t>
  </si>
  <si>
    <t>Abertawe</t>
  </si>
  <si>
    <t>SA4 4FE</t>
  </si>
  <si>
    <t>Lambe Corner LLP</t>
  </si>
  <si>
    <t xml:space="preserve">36-37 Bridge Street, </t>
  </si>
  <si>
    <t xml:space="preserve">Hereford, </t>
  </si>
  <si>
    <t xml:space="preserve">Herefordshire, </t>
  </si>
  <si>
    <t>HR4 9DJ</t>
  </si>
  <si>
    <t>enq@lambecorner.co.uk</t>
  </si>
  <si>
    <t>Hains &amp; Lewis Limited</t>
  </si>
  <si>
    <t>Penffynnon</t>
  </si>
  <si>
    <t>Hawthorn Rise</t>
  </si>
  <si>
    <t>SA61 2BQ</t>
  </si>
  <si>
    <t>lydia.addis@hainsandlewis.co.uk</t>
  </si>
  <si>
    <t>Narberth</t>
  </si>
  <si>
    <t>Staunton House, 7 St James Street</t>
  </si>
  <si>
    <t>SA67 7BZ</t>
  </si>
  <si>
    <t>Carmarthen</t>
  </si>
  <si>
    <t>23 Bridge Street</t>
  </si>
  <si>
    <t>SA31 3JS</t>
  </si>
  <si>
    <t>Unit 22 Canolfan Teifi</t>
  </si>
  <si>
    <t>Pendre</t>
  </si>
  <si>
    <t>Aberteifi</t>
  </si>
  <si>
    <t>SA43 1JL</t>
  </si>
  <si>
    <t>law@hainsandlewis.co.uk</t>
  </si>
  <si>
    <t>Quality Conveyancing Ltd</t>
  </si>
  <si>
    <t>First Floor, Ealing Cross, 85 Uxbridge Road</t>
  </si>
  <si>
    <t>Ealing</t>
  </si>
  <si>
    <t>W5 5BW</t>
  </si>
  <si>
    <t>jayshree@qconveyancing.com</t>
  </si>
  <si>
    <t>Sian Thomas Daughter &amp; Son</t>
  </si>
  <si>
    <t>8 Court Road</t>
  </si>
  <si>
    <t>CF31 1BN</t>
  </si>
  <si>
    <t>bcare@stsolicitors.co.uk</t>
  </si>
  <si>
    <t>Sam Hawking Property Lawyers Ltd</t>
  </si>
  <si>
    <t>65 Station Road</t>
  </si>
  <si>
    <t>Port Talbot</t>
  </si>
  <si>
    <t>Neath Port Talbot</t>
  </si>
  <si>
    <t>SA13 1NW</t>
  </si>
  <si>
    <t>marie@samhawking.co.uk</t>
  </si>
  <si>
    <t>Cross Hands</t>
  </si>
  <si>
    <t>24 Llandeilo Road</t>
  </si>
  <si>
    <t>SA14 6NA</t>
  </si>
  <si>
    <t>charlene@samhawking.co.uk</t>
  </si>
  <si>
    <t>Hadaway and Hadaway Solicitors LLP</t>
  </si>
  <si>
    <t>58 Howard Street</t>
  </si>
  <si>
    <t>North Shields</t>
  </si>
  <si>
    <t>NE30 1AL</t>
  </si>
  <si>
    <t>dwayneh@hadaway.co.uk</t>
  </si>
  <si>
    <t>Kerseys Solicitors LLP</t>
  </si>
  <si>
    <t>32 Lloyds Avenue</t>
  </si>
  <si>
    <t>IP1 3HD</t>
  </si>
  <si>
    <t>info@kerseys.co.uk</t>
  </si>
  <si>
    <t>Felixstowe</t>
  </si>
  <si>
    <t>87 Hamilton Road</t>
  </si>
  <si>
    <t>IP11 7BQ</t>
  </si>
  <si>
    <t>infofelixstowe@kerseys.co.uk</t>
  </si>
  <si>
    <t>17A Deben Mill Business Centre</t>
  </si>
  <si>
    <t>Melton Woodbridge</t>
  </si>
  <si>
    <t>infowoodbridge@kerseys.co.uk</t>
  </si>
  <si>
    <t>Stowmarket</t>
  </si>
  <si>
    <t>7-9 Tavern Street</t>
  </si>
  <si>
    <t>IP14 1PJ</t>
  </si>
  <si>
    <t>infostowmarket@kerseys.co.uk</t>
  </si>
  <si>
    <t>Graeme John Ltd</t>
  </si>
  <si>
    <t>44 Dunraven Street</t>
  </si>
  <si>
    <t>Tonypandy</t>
  </si>
  <si>
    <t>CF40 1AL</t>
  </si>
  <si>
    <t>Lpearce@graemejohn.co.uk</t>
  </si>
  <si>
    <t>1 Victoria Square</t>
  </si>
  <si>
    <t>CF44 7LA</t>
  </si>
  <si>
    <t>SReed@graemejohn.co.uk</t>
  </si>
  <si>
    <t>AWB Charlesworth Solicitors Limited</t>
  </si>
  <si>
    <t>Aireside House, Aireside Business Centre</t>
  </si>
  <si>
    <t>Royd Ings Avenue</t>
  </si>
  <si>
    <t>Keighley</t>
  </si>
  <si>
    <t>BD21 4BZ</t>
  </si>
  <si>
    <t>mail@awbclaw.co.uk</t>
  </si>
  <si>
    <t>23 Otley Street</t>
  </si>
  <si>
    <t>BD23 1DY</t>
  </si>
  <si>
    <t>declan.hayes@awbclaw.co.uk</t>
  </si>
  <si>
    <t>9-11 Peckover Street</t>
  </si>
  <si>
    <t>BD1 5BD</t>
  </si>
  <si>
    <t>Morgan LaRoche Limited</t>
  </si>
  <si>
    <t>Bay House, Phoenix Way</t>
  </si>
  <si>
    <t>SA7 9LA</t>
  </si>
  <si>
    <t>athomas@morganlaroche.com</t>
  </si>
  <si>
    <t>Cabna Court, Heol Glasdwr</t>
  </si>
  <si>
    <t xml:space="preserve">Parc Pensarn </t>
  </si>
  <si>
    <t>SA31 2NF</t>
  </si>
  <si>
    <t xml:space="preserve">Robertsons Legal Limited </t>
  </si>
  <si>
    <t>6 Park Place</t>
  </si>
  <si>
    <t>CF10 3RS</t>
  </si>
  <si>
    <t>h.barry@robsols.co.uk</t>
  </si>
  <si>
    <t>6 St Nicholas Road</t>
  </si>
  <si>
    <t>Y Barri</t>
  </si>
  <si>
    <t>CF62 6QW</t>
  </si>
  <si>
    <t>law@robsols.co.uk</t>
  </si>
  <si>
    <t>Watkins &amp; Gunn Limited</t>
  </si>
  <si>
    <t xml:space="preserve">Glantorfaen House, Hanbury Road </t>
  </si>
  <si>
    <t>Pontypool</t>
  </si>
  <si>
    <t>NP4 6XY</t>
  </si>
  <si>
    <t>ctouhig@watkinsandgunn.co.uk</t>
  </si>
  <si>
    <t>Ground Floor, Building 5</t>
  </si>
  <si>
    <t>Castlebridge, 5-19 Cowbridge Road East</t>
  </si>
  <si>
    <t>CF11 9AB</t>
  </si>
  <si>
    <t>info@watkinsandgunn.co.uk</t>
  </si>
  <si>
    <t>Tanners Solicitors LLP</t>
  </si>
  <si>
    <t>Lancaster House</t>
  </si>
  <si>
    <t>Thomas Street</t>
  </si>
  <si>
    <t>GL7 2AX</t>
  </si>
  <si>
    <t>jma@tanners.co.uk</t>
  </si>
  <si>
    <t>2 Imperial Sqaure</t>
  </si>
  <si>
    <t>GL50 1QB</t>
  </si>
  <si>
    <t>law@tanners.co.uk</t>
  </si>
  <si>
    <t>Roger James Clements and Partners Limited</t>
  </si>
  <si>
    <t>71-72 Bridge Street</t>
  </si>
  <si>
    <t>NP20 4AQ</t>
  </si>
  <si>
    <t>matt.clements@rjcp.co.uk</t>
  </si>
  <si>
    <t>Gabbs Solicitors Ltd</t>
  </si>
  <si>
    <t>14 Broad Street</t>
  </si>
  <si>
    <t>HR4 9AP</t>
  </si>
  <si>
    <t>apalliser@gabbs.biz</t>
  </si>
  <si>
    <t>Leominster</t>
  </si>
  <si>
    <t>26A Broad Street</t>
  </si>
  <si>
    <t>HR6 8BS</t>
  </si>
  <si>
    <t>rhughes@gabbs.biz</t>
  </si>
  <si>
    <t>1 - 2 Chancery Lane</t>
  </si>
  <si>
    <t>Hay-on-Wye</t>
  </si>
  <si>
    <t>HR3 5DJ</t>
  </si>
  <si>
    <t>hay@gabbs.biz</t>
  </si>
  <si>
    <t>Bartons.co.uk Limited</t>
  </si>
  <si>
    <t>13-14 Orchard Street</t>
  </si>
  <si>
    <t>BS1 5EH</t>
  </si>
  <si>
    <t>l.williams@bartons.co.uk</t>
  </si>
  <si>
    <t>9 Town Quay</t>
  </si>
  <si>
    <t>The Plains</t>
  </si>
  <si>
    <t>Totnes</t>
  </si>
  <si>
    <t>TQ9 5DW</t>
  </si>
  <si>
    <t>totnes@bartons.co.uk</t>
  </si>
  <si>
    <t>20 Fore Street</t>
  </si>
  <si>
    <t>TQ7 1NZ</t>
  </si>
  <si>
    <t>kingsbridge@bartons.co.uk</t>
  </si>
  <si>
    <t>Twomlows Ltd</t>
  </si>
  <si>
    <t>20 Newport Road</t>
  </si>
  <si>
    <t>Caldicot</t>
  </si>
  <si>
    <t>Gwent</t>
  </si>
  <si>
    <t>NP26 4BQ</t>
  </si>
  <si>
    <t>m.twomlow@twomlows.com</t>
  </si>
  <si>
    <t>Monmouth</t>
  </si>
  <si>
    <t>13 Monnow Street</t>
  </si>
  <si>
    <t>NP25 3EF</t>
  </si>
  <si>
    <t>Chepstow</t>
  </si>
  <si>
    <t>15-16 Upper Church Street</t>
  </si>
  <si>
    <t>NP16 5EX</t>
  </si>
  <si>
    <t>e.moore@twomlows.com</t>
  </si>
  <si>
    <t>Jacklyn Dawson Solicitors LLP</t>
  </si>
  <si>
    <t>Equity Chambers</t>
  </si>
  <si>
    <t>John Frost Square</t>
  </si>
  <si>
    <t>NP20 1PW</t>
  </si>
  <si>
    <t>LynseyL@jacklyndawson.co.uk</t>
  </si>
  <si>
    <t>6 Priory Street</t>
  </si>
  <si>
    <t>Trefynwy</t>
  </si>
  <si>
    <t>NP25 3BR</t>
  </si>
  <si>
    <t>David J Foster &amp; Co (Solicitors) Ltd</t>
  </si>
  <si>
    <t>4 Victoria Road</t>
  </si>
  <si>
    <t>B79 7HL</t>
  </si>
  <si>
    <t>reception@davidjfostersolicitors.co.uk</t>
  </si>
  <si>
    <t>51 Bridge Street</t>
  </si>
  <si>
    <t>Polesworth</t>
  </si>
  <si>
    <t>B78 1DR</t>
  </si>
  <si>
    <t>jane@davidjfostersolicitors.co.uk</t>
  </si>
  <si>
    <t>Unit 1, Institute lane</t>
  </si>
  <si>
    <t>Alfreton</t>
  </si>
  <si>
    <t>DE55 7BQ</t>
  </si>
  <si>
    <t>enquiries@chapsol.com</t>
  </si>
  <si>
    <t>Unit MO5C, The Willowbrook Centre</t>
  </si>
  <si>
    <t>BS32 8EF</t>
  </si>
  <si>
    <t>enquiries@hooleandco.co.uk</t>
  </si>
  <si>
    <t>61 Bradford Street</t>
  </si>
  <si>
    <t>Wallsall</t>
  </si>
  <si>
    <t>WS1 3QD</t>
  </si>
  <si>
    <t>info@djfsolicitors.co.uk</t>
  </si>
  <si>
    <t>Suite 3, The Old Church, St. Matthews Road</t>
  </si>
  <si>
    <t xml:space="preserve">Norwich </t>
  </si>
  <si>
    <t>NR1 1SP</t>
  </si>
  <si>
    <t>info@ukclegal.co.uk</t>
  </si>
  <si>
    <t>301-303 Chester Rd</t>
  </si>
  <si>
    <t>B36 0JG</t>
  </si>
  <si>
    <t>Unit 1 Cable Court, Pittman Way</t>
  </si>
  <si>
    <t>PR2 9YW</t>
  </si>
  <si>
    <t>mth@djfsolicitors.co.uk</t>
  </si>
  <si>
    <t>8 Fulwood Place</t>
  </si>
  <si>
    <t>WC1V 6HG</t>
  </si>
  <si>
    <t>Old Wallfields</t>
  </si>
  <si>
    <t>Pegs Lane</t>
  </si>
  <si>
    <t>Hertford</t>
  </si>
  <si>
    <t>SG13 8EQ</t>
  </si>
  <si>
    <t>mail@judkins-solicitors.co.uk</t>
  </si>
  <si>
    <t>Marlborough House, 139 Stratford Road</t>
  </si>
  <si>
    <t>Solihull</t>
  </si>
  <si>
    <t>B90 3AY</t>
  </si>
  <si>
    <t>enquiries@ericbowesandco.co.uk</t>
  </si>
  <si>
    <t>Llys Cennen Solicitors</t>
  </si>
  <si>
    <t>52 College Street</t>
  </si>
  <si>
    <t>Dyfed</t>
  </si>
  <si>
    <t>SA18 3AG</t>
  </si>
  <si>
    <t>h.davies@llyscennen.co.uk</t>
  </si>
  <si>
    <t>56 Rhosmaen Street</t>
  </si>
  <si>
    <t>Llandeilo</t>
  </si>
  <si>
    <t>SA19 6HA</t>
  </si>
  <si>
    <t>llan@llyscennen.co.uk</t>
  </si>
  <si>
    <t>9 Barn Road</t>
  </si>
  <si>
    <t>SA31 1DE</t>
  </si>
  <si>
    <t>carm@llyscennen.co.uk</t>
  </si>
  <si>
    <t>Bird &amp; Lovibond Limited</t>
  </si>
  <si>
    <t>5 Vine Street</t>
  </si>
  <si>
    <t>Uxbridge</t>
  </si>
  <si>
    <t>UB8 1QE</t>
  </si>
  <si>
    <t>cmatthews-stroud@bird-lovibond.co.uk</t>
  </si>
  <si>
    <t>11-15 High Street</t>
  </si>
  <si>
    <t>Ruislip</t>
  </si>
  <si>
    <t>HA4 7AU</t>
  </si>
  <si>
    <t>44 The Broadway</t>
  </si>
  <si>
    <t>Greenford</t>
  </si>
  <si>
    <t>UB6 9PT</t>
  </si>
  <si>
    <t>Wessex Conveyancing Ltd</t>
  </si>
  <si>
    <t>First Floor, Leanne House</t>
  </si>
  <si>
    <t>Avon Close</t>
  </si>
  <si>
    <t>Weymouth</t>
  </si>
  <si>
    <t>DT4 9UX</t>
  </si>
  <si>
    <t>Claire.williams@wessex-conveyancing.co.uk</t>
  </si>
  <si>
    <t>RJM Solicitors Ltd</t>
  </si>
  <si>
    <t>1st &amp; 2nd Floors, 34 Victoria Street</t>
  </si>
  <si>
    <t>Merthyr Tydfil</t>
  </si>
  <si>
    <t>CF47 8BW</t>
  </si>
  <si>
    <t>rebecca@rjmsolicitors.co.uk</t>
  </si>
  <si>
    <t>Michael Leighton Jones Solicitors</t>
  </si>
  <si>
    <t>53 Hanbury Road</t>
  </si>
  <si>
    <t>Bargoed</t>
  </si>
  <si>
    <t>CF81 8XD</t>
  </si>
  <si>
    <t>mike@michaelleightonjones.com</t>
  </si>
  <si>
    <t>Crane and Walton LLP</t>
  </si>
  <si>
    <t>21-25 London Road</t>
  </si>
  <si>
    <t>Coalville</t>
  </si>
  <si>
    <t>LE67 3JB</t>
  </si>
  <si>
    <t>rebeccataylor@craneandwalton.co.uk</t>
  </si>
  <si>
    <t>24 De Montfort Street</t>
  </si>
  <si>
    <t>LE1 7GB</t>
  </si>
  <si>
    <t>alisonmuttock@craneandwalton.com</t>
  </si>
  <si>
    <t xml:space="preserve">30 South Street, </t>
  </si>
  <si>
    <t>Ashby-de-la-Zouch</t>
  </si>
  <si>
    <t>LE65 1BT</t>
  </si>
  <si>
    <t>matthewneedham@craneandwalton.com</t>
  </si>
  <si>
    <t>Ashby de la Zouch</t>
  </si>
  <si>
    <t>Wollen Michelmore LLP</t>
  </si>
  <si>
    <t>At Harbourside</t>
  </si>
  <si>
    <t xml:space="preserve">67 The Terrace </t>
  </si>
  <si>
    <t>TQ1 1DP</t>
  </si>
  <si>
    <t>lawyers@wollens.co.uk</t>
  </si>
  <si>
    <t xml:space="preserve">Barnstaple </t>
  </si>
  <si>
    <t>First Floor, Avery House, Liberty Road</t>
  </si>
  <si>
    <t>Roundswell</t>
  </si>
  <si>
    <t>EX31 3TL</t>
  </si>
  <si>
    <t>clive.meredith@wollens.co.uk</t>
  </si>
  <si>
    <t>Aperture, Pynes Hill</t>
  </si>
  <si>
    <t xml:space="preserve">Exeter </t>
  </si>
  <si>
    <t xml:space="preserve">Devon </t>
  </si>
  <si>
    <t>EX2 5AZ</t>
  </si>
  <si>
    <t>richard.phillips@wollens.co.uk</t>
  </si>
  <si>
    <t>Streathers Clapham LLP</t>
  </si>
  <si>
    <t>53 Clapham High Street</t>
  </si>
  <si>
    <t>SW4 7TG</t>
  </si>
  <si>
    <t>ben@streathers.com</t>
  </si>
  <si>
    <t>Gwyn James Legal Limited</t>
  </si>
  <si>
    <t>15 Church Street</t>
  </si>
  <si>
    <t>NP25 3BX</t>
  </si>
  <si>
    <t>leanne.evans@gwynjames.co.uk</t>
  </si>
  <si>
    <t>Coleford</t>
  </si>
  <si>
    <t>GL16 8HE</t>
  </si>
  <si>
    <t>Ross on Wye</t>
  </si>
  <si>
    <t>Cantilupe Chambers</t>
  </si>
  <si>
    <t>Cantilupe Road</t>
  </si>
  <si>
    <t>HR9 7AN</t>
  </si>
  <si>
    <t>ross@gwynjames.co.uk</t>
  </si>
  <si>
    <t>EMW Law LLP</t>
  </si>
  <si>
    <t>Seebeck House, 1 Seebeck Place</t>
  </si>
  <si>
    <t>Knowlhill</t>
  </si>
  <si>
    <t>MK5 8FR</t>
  </si>
  <si>
    <t>carol.cardell@emwlaw.com</t>
  </si>
  <si>
    <t>210 Euston Road</t>
  </si>
  <si>
    <t>NW1 2DA</t>
  </si>
  <si>
    <t>conveyancing@emwlaw.com</t>
  </si>
  <si>
    <t>8 Spencer Parade</t>
  </si>
  <si>
    <t>NN1 5AA</t>
  </si>
  <si>
    <t>nptonconveyancing@emwlaw.com</t>
  </si>
  <si>
    <t>Watford</t>
  </si>
  <si>
    <t>5 George Street</t>
  </si>
  <si>
    <t>WD18 0SQ</t>
  </si>
  <si>
    <t>kamran.shah@emwlaw.com</t>
  </si>
  <si>
    <t>Alexander JLO</t>
  </si>
  <si>
    <t>Jack Dash House, 2 Lawn House Close</t>
  </si>
  <si>
    <t>E14 9YQ</t>
  </si>
  <si>
    <t>matt@london-law.co.uk</t>
  </si>
  <si>
    <t>SAS Daniels LLP</t>
  </si>
  <si>
    <t>30 Greek Street</t>
  </si>
  <si>
    <t>SK3 8AD</t>
  </si>
  <si>
    <t>joanne.unwin@sasdaniels.co.uk</t>
  </si>
  <si>
    <t>Churchill Chambers</t>
  </si>
  <si>
    <t>Churchill Way</t>
  </si>
  <si>
    <t>Macclesfield</t>
  </si>
  <si>
    <t>SK11 6AY</t>
  </si>
  <si>
    <t>victoria.bury@sasdaniels.co.uk</t>
  </si>
  <si>
    <t>3 Vicar's Lane</t>
  </si>
  <si>
    <t>CH1 1QX</t>
  </si>
  <si>
    <t>sara.williams@sasdaniels.co.uk</t>
  </si>
  <si>
    <t>Slater Heelis Limited</t>
  </si>
  <si>
    <t>1st Floor Crossgate House, 47-55 Cross Street</t>
  </si>
  <si>
    <t>Sale</t>
  </si>
  <si>
    <t>M33 7FT</t>
  </si>
  <si>
    <t>LMS@slaterheelis.co.uk</t>
  </si>
  <si>
    <t>86 Deansgate</t>
  </si>
  <si>
    <t>M3 2ER</t>
  </si>
  <si>
    <t>Hbw Law Limited</t>
  </si>
  <si>
    <t>29 Church Street</t>
  </si>
  <si>
    <t>S70 2AL</t>
  </si>
  <si>
    <t>r.cherry@hbw-law.co.uk</t>
  </si>
  <si>
    <t>Dale &amp; Newbery LLP</t>
  </si>
  <si>
    <t xml:space="preserve">Clarence House, 31 Clarence Street, </t>
  </si>
  <si>
    <t>Staines</t>
  </si>
  <si>
    <t>TW18 4SY</t>
  </si>
  <si>
    <t>info@dnlaw.co.uk</t>
  </si>
  <si>
    <t>Martyn Prowel Ltd</t>
  </si>
  <si>
    <t xml:space="preserve">The Aspect, </t>
  </si>
  <si>
    <t xml:space="preserve">140 Queen Street, </t>
  </si>
  <si>
    <t xml:space="preserve">Cardiff, </t>
  </si>
  <si>
    <t xml:space="preserve">South Glamorgan, </t>
  </si>
  <si>
    <t>CF10 2GL</t>
  </si>
  <si>
    <t>thorrigan@martynprowel.co.uk</t>
  </si>
  <si>
    <t>Brands House</t>
  </si>
  <si>
    <t>2 Corn Street</t>
  </si>
  <si>
    <t>NP20 1DJ</t>
  </si>
  <si>
    <t>estark@mpgsolicitors.co.uk</t>
  </si>
  <si>
    <t>Abergavenny</t>
  </si>
  <si>
    <t>Rother House</t>
  </si>
  <si>
    <t>11 Neville Street</t>
  </si>
  <si>
    <t>NP7 5AA</t>
  </si>
  <si>
    <t>Bana Vaid &amp; Associates Limited</t>
  </si>
  <si>
    <t xml:space="preserve">5 Marlborough Parade, </t>
  </si>
  <si>
    <t>Uxbridge Road,</t>
  </si>
  <si>
    <t>UB10 0LR</t>
  </si>
  <si>
    <t>rakhi@banavaid.com</t>
  </si>
  <si>
    <t>866-868 Uxbridge Road</t>
  </si>
  <si>
    <t>Hayes</t>
  </si>
  <si>
    <t>UB4 0RR</t>
  </si>
  <si>
    <t>beroze@banavaid.com</t>
  </si>
  <si>
    <t>Warners Law LLP</t>
  </si>
  <si>
    <t>Bank House Bank Street</t>
  </si>
  <si>
    <t>TN9 1BL</t>
  </si>
  <si>
    <t>j.mcauliffe@warners.law</t>
  </si>
  <si>
    <t>16 South Park</t>
  </si>
  <si>
    <t>Kent,</t>
  </si>
  <si>
    <t>TN13 1AN</t>
  </si>
  <si>
    <t>j.bohill@warners-solicitors.co.uk</t>
  </si>
  <si>
    <t>NB Law</t>
  </si>
  <si>
    <t>18 High Street</t>
  </si>
  <si>
    <t>Tattershall</t>
  </si>
  <si>
    <t>LN4 4LE</t>
  </si>
  <si>
    <t>nick.brown@nblaw.co.uk</t>
  </si>
  <si>
    <t>Acorn Solicitors LLP</t>
  </si>
  <si>
    <t>126 High Street</t>
  </si>
  <si>
    <t>BA16 0ER</t>
  </si>
  <si>
    <t>conveyancing@acornsolicitors.co.uk</t>
  </si>
  <si>
    <t>50 Upper High Street</t>
  </si>
  <si>
    <t>TA1 3PY</t>
  </si>
  <si>
    <t>Weightmans LLP</t>
  </si>
  <si>
    <t>100 Old Hall Street</t>
  </si>
  <si>
    <t>L3 9QJ</t>
  </si>
  <si>
    <t>Anthony.howarth@weightmans.com</t>
  </si>
  <si>
    <t>103 Colmore Row</t>
  </si>
  <si>
    <t xml:space="preserve">West Midlands </t>
  </si>
  <si>
    <t>B3 3AG</t>
  </si>
  <si>
    <t>1 Whitehall Riverside</t>
  </si>
  <si>
    <t>LS1 4BN</t>
  </si>
  <si>
    <t xml:space="preserve">Waterloo House </t>
  </si>
  <si>
    <t xml:space="preserve">71 Princess Road West </t>
  </si>
  <si>
    <t>LE1 6TR</t>
  </si>
  <si>
    <t xml:space="preserve">The Hallmark Building </t>
  </si>
  <si>
    <t>105 Fenchurch Street</t>
  </si>
  <si>
    <t>EC3M 5JG</t>
  </si>
  <si>
    <t>Spinningfields</t>
  </si>
  <si>
    <t xml:space="preserve">No1 Spinningfields, 1 Hardman Square, </t>
  </si>
  <si>
    <t>M3 3EB</t>
  </si>
  <si>
    <t>Newcastle</t>
  </si>
  <si>
    <t>1 St James' Gate</t>
  </si>
  <si>
    <t>NE1 4AD</t>
  </si>
  <si>
    <t>Ranson Houghton LLP</t>
  </si>
  <si>
    <t>1-5 Bridge Street</t>
  </si>
  <si>
    <t>SP10 1BE</t>
  </si>
  <si>
    <t>arichards@rhsolicitors.co.uk</t>
  </si>
  <si>
    <t>23 Brown Street</t>
  </si>
  <si>
    <t>SP1 2AS</t>
  </si>
  <si>
    <t>mcooper-gray@rhsolicitors.co.uk</t>
  </si>
  <si>
    <t>Ash Clifford Limited</t>
  </si>
  <si>
    <t>14 Northgate</t>
  </si>
  <si>
    <t>TA6 3EU</t>
  </si>
  <si>
    <t>iparker@ashclifford.co.uk</t>
  </si>
  <si>
    <t>Large and Gibson</t>
  </si>
  <si>
    <t>Kent House, 49 Kent Road</t>
  </si>
  <si>
    <t>PO5 3EJ</t>
  </si>
  <si>
    <t>daniel.deathers@largeandgibson.co.uk</t>
  </si>
  <si>
    <t>Keoghs Nicholls Lindsell &amp; Harris LLP</t>
  </si>
  <si>
    <t>21-23 Market Street</t>
  </si>
  <si>
    <t>Altrincham</t>
  </si>
  <si>
    <t>WA14 1QT</t>
  </si>
  <si>
    <t>s.burke@keoghssolicitors.co.uk</t>
  </si>
  <si>
    <t>8-12 Commercial Road</t>
  </si>
  <si>
    <t>SK7 4AA</t>
  </si>
  <si>
    <t>T V Edwards LLP</t>
  </si>
  <si>
    <t>35-37 Mile End Road</t>
  </si>
  <si>
    <t>E1 4TP</t>
  </si>
  <si>
    <t>juanita.francis@tvedwards.com</t>
  </si>
  <si>
    <t>160 Falcon Road</t>
  </si>
  <si>
    <t>SW11 2LN</t>
  </si>
  <si>
    <t>EDC Lord &amp; Co</t>
  </si>
  <si>
    <t>Waterside House, 20 Riverside Way</t>
  </si>
  <si>
    <t>Cowley</t>
  </si>
  <si>
    <t>UB8 2YF</t>
  </si>
  <si>
    <t>Mail@edclord.com</t>
  </si>
  <si>
    <t xml:space="preserve">Howell &amp; Co Solicitors LLP </t>
  </si>
  <si>
    <t>1341, Stratford Road</t>
  </si>
  <si>
    <t>Hall Green</t>
  </si>
  <si>
    <t>B28 9HW</t>
  </si>
  <si>
    <t>rgibbins@howell-solicitors.co.uk</t>
  </si>
  <si>
    <t>Wellers Law Group LLP</t>
  </si>
  <si>
    <t>Tenison House</t>
  </si>
  <si>
    <t>45 Tweedy Road</t>
  </si>
  <si>
    <t>Bromley</t>
  </si>
  <si>
    <t>BR1 3NF</t>
  </si>
  <si>
    <t>LMS@wellerslawgroup.com</t>
  </si>
  <si>
    <t>22a High Street</t>
  </si>
  <si>
    <t>Great Bookham</t>
  </si>
  <si>
    <t>KT23 4AG</t>
  </si>
  <si>
    <t>Second Floor</t>
  </si>
  <si>
    <t>50-52 London Road</t>
  </si>
  <si>
    <t>TN13 1AS</t>
  </si>
  <si>
    <t>1st Floor, 65 Leadenhall Street</t>
  </si>
  <si>
    <t>EC3A 2AD</t>
  </si>
  <si>
    <t>Chislehurst</t>
  </si>
  <si>
    <t>1A Bromley Lane</t>
  </si>
  <si>
    <t>BR7 6LH</t>
  </si>
  <si>
    <t>Butler House</t>
  </si>
  <si>
    <t>Guildford Road</t>
  </si>
  <si>
    <t>KT23 4HB</t>
  </si>
  <si>
    <t xml:space="preserve">Mason Baggott and Garton Solicitors Ltd </t>
  </si>
  <si>
    <t>13-19 Wells Street</t>
  </si>
  <si>
    <t>DN15 6HN</t>
  </si>
  <si>
    <t>practicemanager@lawlincs.co.uk</t>
  </si>
  <si>
    <t>25 Bigby Street</t>
  </si>
  <si>
    <t>DN20 8ED</t>
  </si>
  <si>
    <t>1 Market Place</t>
  </si>
  <si>
    <t>DN9 1EU</t>
  </si>
  <si>
    <t>Barton upon Humber</t>
  </si>
  <si>
    <t>DN18 5PU</t>
  </si>
  <si>
    <t xml:space="preserve">Inghams </t>
  </si>
  <si>
    <t>32-38 North Albert Street</t>
  </si>
  <si>
    <t>Fleetwood</t>
  </si>
  <si>
    <t>FY7 6AW</t>
  </si>
  <si>
    <t>es@inghams.law</t>
  </si>
  <si>
    <t>37 Redbank Road</t>
  </si>
  <si>
    <t>FY2 9HX</t>
  </si>
  <si>
    <t>estatham@inghams-law.co.uk</t>
  </si>
  <si>
    <t>12 Queens Square</t>
  </si>
  <si>
    <t xml:space="preserve">Poulton-le-Fylde </t>
  </si>
  <si>
    <t>FY6 7BN</t>
  </si>
  <si>
    <t>8 Crescent East</t>
  </si>
  <si>
    <t xml:space="preserve">Thornton-cleveleys </t>
  </si>
  <si>
    <t>FY5 3LW</t>
  </si>
  <si>
    <t>Pinkney Grunwells Lawyers LLP</t>
  </si>
  <si>
    <t>64 Westborough</t>
  </si>
  <si>
    <t>Scarborough</t>
  </si>
  <si>
    <t>YO11 1TS</t>
  </si>
  <si>
    <t>anthony.matthew@pinkneygrunwells.co.uk</t>
  </si>
  <si>
    <t xml:space="preserve">Bridlington </t>
  </si>
  <si>
    <t>8 and 10 Quay Road</t>
  </si>
  <si>
    <t xml:space="preserve">North Humberside, </t>
  </si>
  <si>
    <t>YO15 2AP</t>
  </si>
  <si>
    <t>42 Baxtergate</t>
  </si>
  <si>
    <t>Whitby</t>
  </si>
  <si>
    <t>YO21 1BN</t>
  </si>
  <si>
    <t>25 Bridlington Street</t>
  </si>
  <si>
    <t xml:space="preserve">Hunmanby </t>
  </si>
  <si>
    <t>Filey</t>
  </si>
  <si>
    <t>YO14 0JR</t>
  </si>
  <si>
    <t>Driffield</t>
  </si>
  <si>
    <t>23 Exchange Street</t>
  </si>
  <si>
    <t>North Humberside</t>
  </si>
  <si>
    <t>YO25 6LF</t>
  </si>
  <si>
    <t>Perry Hay &amp; Co</t>
  </si>
  <si>
    <t>25 The Green</t>
  </si>
  <si>
    <t>TW9 1LY</t>
  </si>
  <si>
    <t>nicolegreen@perryhay.co.uk</t>
  </si>
  <si>
    <t>Lester Aldridge LLP</t>
  </si>
  <si>
    <t>Russell House</t>
  </si>
  <si>
    <t>Oxford Road</t>
  </si>
  <si>
    <t>BH8 8EX</t>
  </si>
  <si>
    <t>breinfo@la-law.com</t>
  </si>
  <si>
    <t>Mountbatten House, Grosvenor Square</t>
  </si>
  <si>
    <t>SO15 2JU</t>
  </si>
  <si>
    <t>Online.enquiries@la-law.com</t>
  </si>
  <si>
    <t>Savoy Hill House</t>
  </si>
  <si>
    <t>Savoy Hill</t>
  </si>
  <si>
    <t>WC2R 0BU</t>
  </si>
  <si>
    <t>online.enquiries@la-law.com</t>
  </si>
  <si>
    <t>Newtons Solicitors Limited</t>
  </si>
  <si>
    <t>St James' Business Park</t>
  </si>
  <si>
    <t>5 Grimbald Crag Court</t>
  </si>
  <si>
    <t>Knaresborough</t>
  </si>
  <si>
    <t>HG5 8QB</t>
  </si>
  <si>
    <t>charlotte.bailes@newtons.co.uk</t>
  </si>
  <si>
    <t xml:space="preserve">York </t>
  </si>
  <si>
    <t>Chestnut House</t>
  </si>
  <si>
    <t>Hackness Road, North Minster Business Park</t>
  </si>
  <si>
    <t>Upper Poppleton, York</t>
  </si>
  <si>
    <t>YO26 6QR</t>
  </si>
  <si>
    <t xml:space="preserve">Info@newtons.co.uk </t>
  </si>
  <si>
    <t>Ripon</t>
  </si>
  <si>
    <t>36 Market Place South</t>
  </si>
  <si>
    <t>HG4 1BZ</t>
  </si>
  <si>
    <t>Darlington</t>
  </si>
  <si>
    <t>49 Coniscliffe Road</t>
  </si>
  <si>
    <t>DL3 7EH</t>
  </si>
  <si>
    <t>Rosemary House</t>
  </si>
  <si>
    <t>Rosemary Lane</t>
  </si>
  <si>
    <t>DL10 4DP</t>
  </si>
  <si>
    <t>Martin House</t>
  </si>
  <si>
    <t>13 High Street</t>
  </si>
  <si>
    <t>Stokesley</t>
  </si>
  <si>
    <t>TS9 5AD</t>
  </si>
  <si>
    <t>Thirsk</t>
  </si>
  <si>
    <t>The Old Post Office, Market Place</t>
  </si>
  <si>
    <t>YO7 1TF</t>
  </si>
  <si>
    <t>Unit 8, Calder Close</t>
  </si>
  <si>
    <t>Durkar</t>
  </si>
  <si>
    <t>WF4 3BA</t>
  </si>
  <si>
    <t>Enterprise House</t>
  </si>
  <si>
    <t>Penrith 40 Business Park, Gillan Way</t>
  </si>
  <si>
    <t>CA11 9BP</t>
  </si>
  <si>
    <t>Bennett Oakley Limited</t>
  </si>
  <si>
    <t>13 Mill Road</t>
  </si>
  <si>
    <t>Burgess Hill</t>
  </si>
  <si>
    <t>RH15 8DN</t>
  </si>
  <si>
    <t xml:space="preserve">lawyers@bennettoakley.co.uk </t>
  </si>
  <si>
    <t>19 Keymer Road</t>
  </si>
  <si>
    <t>BN6 8AD</t>
  </si>
  <si>
    <t>Nalders LLP</t>
  </si>
  <si>
    <t>Farley House</t>
  </si>
  <si>
    <t>Falmouth Road</t>
  </si>
  <si>
    <t>TR1 2HX</t>
  </si>
  <si>
    <t>kos@nalders.co.uk</t>
  </si>
  <si>
    <t>11 Beachfield Avenue</t>
  </si>
  <si>
    <t>TR7 1DP</t>
  </si>
  <si>
    <t>lmsref@nalders.co.uk</t>
  </si>
  <si>
    <t>North Wing, Bickland House</t>
  </si>
  <si>
    <t>Bickland Water Road</t>
  </si>
  <si>
    <t>Falmouth</t>
  </si>
  <si>
    <t>TR11 4SB</t>
  </si>
  <si>
    <t>conveyancingreferrals@nalders.co.uk</t>
  </si>
  <si>
    <t>6 Chapel Street</t>
  </si>
  <si>
    <t>Camborne</t>
  </si>
  <si>
    <t>TR14 8EG</t>
  </si>
  <si>
    <t>32a Coinagehall Street</t>
  </si>
  <si>
    <t>Helston</t>
  </si>
  <si>
    <t>TR13 8EQ</t>
  </si>
  <si>
    <t>Cannis House</t>
  </si>
  <si>
    <t>Chapmans Way</t>
  </si>
  <si>
    <t>St Austell</t>
  </si>
  <si>
    <t>PL25 4QU</t>
  </si>
  <si>
    <t>104 Market Jew Street</t>
  </si>
  <si>
    <t>Penzance</t>
  </si>
  <si>
    <t>TR18 2LE</t>
  </si>
  <si>
    <t>8-14 Berkeley Vale</t>
  </si>
  <si>
    <t>TR11 3PH</t>
  </si>
  <si>
    <t>post@nalders.co.uk</t>
  </si>
  <si>
    <t>Jones Solicitors LLP</t>
  </si>
  <si>
    <t>5 Churchgate, Cannon Square</t>
  </si>
  <si>
    <t>DN22 6PB</t>
  </si>
  <si>
    <t>emma.thompson@jonessolicitors.co.uk</t>
  </si>
  <si>
    <t>Bawtry</t>
  </si>
  <si>
    <t>48 High Street</t>
  </si>
  <si>
    <t>DN10 6JB</t>
  </si>
  <si>
    <t>info@jonessolicitors.co.uk</t>
  </si>
  <si>
    <t>Mayville, Sherwood Drive</t>
  </si>
  <si>
    <t xml:space="preserve">New Ollerton </t>
  </si>
  <si>
    <t>Newark</t>
  </si>
  <si>
    <t>NG22 9PP</t>
  </si>
  <si>
    <t>The Old Police Station, Shrewsbury Road</t>
  </si>
  <si>
    <t>Bircotes</t>
  </si>
  <si>
    <t>DN11 8DE</t>
  </si>
  <si>
    <t>Allsop Durn LLP</t>
  </si>
  <si>
    <t>17 King Edwards Road</t>
  </si>
  <si>
    <t>HA4 7AE</t>
  </si>
  <si>
    <t>htorresi@allsopdurnllp.co.uk</t>
  </si>
  <si>
    <t>Unit 2 Grange Farm Business Park, Grange Road</t>
  </si>
  <si>
    <t>Hugglescote</t>
  </si>
  <si>
    <t>LE67 2BT</t>
  </si>
  <si>
    <t>info@allsopdurnllp.co.uk</t>
  </si>
  <si>
    <t>Murria Solicitors Limited</t>
  </si>
  <si>
    <t>Court Chambers, 180 Corporation Street</t>
  </si>
  <si>
    <t>B4 6UD</t>
  </si>
  <si>
    <t>dpardoe@murria.co.uk</t>
  </si>
  <si>
    <t>Gepp &amp; Sons Solicitors LLP</t>
  </si>
  <si>
    <t>5 Springfield Lyons Approach</t>
  </si>
  <si>
    <t>CM2 5LB</t>
  </si>
  <si>
    <t>johnsonm@gepp.co.uk</t>
  </si>
  <si>
    <t>The Waring Partnership LLP</t>
  </si>
  <si>
    <t>8 Marsh Parade</t>
  </si>
  <si>
    <t>Hythe</t>
  </si>
  <si>
    <t>SO45 6AN</t>
  </si>
  <si>
    <t>andrea.waring@the-waring-partnership.com</t>
  </si>
  <si>
    <t>15 Water Lane</t>
  </si>
  <si>
    <t>SO40 3DF</t>
  </si>
  <si>
    <t xml:space="preserve">King Lawes Legal </t>
  </si>
  <si>
    <t>21a Huntingdon Street</t>
  </si>
  <si>
    <t xml:space="preserve">Cambridgeshire </t>
  </si>
  <si>
    <t>PE19 1BL</t>
  </si>
  <si>
    <t>enquiries@kinglawes.co.uk</t>
  </si>
  <si>
    <t>Mancini Legal Limited</t>
  </si>
  <si>
    <t>42b Carfax</t>
  </si>
  <si>
    <t>RH12 1EQ</t>
  </si>
  <si>
    <t>alessandro.mancini@mancinilegal.com</t>
  </si>
  <si>
    <t>Mulcare Jenkins Solicitors, 5a Muster Green South</t>
  </si>
  <si>
    <t>RH16 4AP</t>
  </si>
  <si>
    <t xml:space="preserve">Beverley Morris &amp; Co LLP </t>
  </si>
  <si>
    <t>35 Montpelier Vale</t>
  </si>
  <si>
    <t>SE3 0TJ</t>
  </si>
  <si>
    <t>beverley@beverleymorris.co.uk</t>
  </si>
  <si>
    <t>Lynn Murray &amp; Co.</t>
  </si>
  <si>
    <t>Denning House, 84 High Street</t>
  </si>
  <si>
    <t>Cranleigh</t>
  </si>
  <si>
    <t>GU6 8AH</t>
  </si>
  <si>
    <t>lynn@lynnmurray.co.uk</t>
  </si>
  <si>
    <t>Sprake and Kingsley LLP</t>
  </si>
  <si>
    <t>16 Broad Street</t>
  </si>
  <si>
    <t>Bungay</t>
  </si>
  <si>
    <t>NR35 1EN</t>
  </si>
  <si>
    <t>jhay@sprakekingsley.co.uk</t>
  </si>
  <si>
    <t>Saracens Solicitors Ltd</t>
  </si>
  <si>
    <t>Thanet House, 231-232 Strand</t>
  </si>
  <si>
    <t>WC2R 1DA</t>
  </si>
  <si>
    <t>residential@saracenssolicitors.co.uk</t>
  </si>
  <si>
    <t>Unit 2, Spring Villa Park, Spring Villa Road</t>
  </si>
  <si>
    <t>Edgware</t>
  </si>
  <si>
    <t>HA8 7EB</t>
  </si>
  <si>
    <t>Brachers LLP</t>
  </si>
  <si>
    <t>Somerfield House, 59 London Road</t>
  </si>
  <si>
    <t>ME16 8JH</t>
  </si>
  <si>
    <t>clarewaters@brachers.co.uk</t>
  </si>
  <si>
    <t>First floor, Graylaw House, 20-22 Watling Street</t>
  </si>
  <si>
    <t>CT1 2UA</t>
  </si>
  <si>
    <t>1 Maison Dieu Road</t>
  </si>
  <si>
    <t>Dover</t>
  </si>
  <si>
    <t>CT16 1RW</t>
  </si>
  <si>
    <t>info@brachers.co.uk</t>
  </si>
  <si>
    <t>BES Legal Limited</t>
  </si>
  <si>
    <t>920 Walsall Road</t>
  </si>
  <si>
    <t>Great Barr</t>
  </si>
  <si>
    <t>B42 1TG</t>
  </si>
  <si>
    <t>sanjeev.kalair@beslegal.co.uk</t>
  </si>
  <si>
    <t>North London Business Park, Building 3, Suite 321</t>
  </si>
  <si>
    <t>New Southgate</t>
  </si>
  <si>
    <t>Herts</t>
  </si>
  <si>
    <t>N11 1GN</t>
  </si>
  <si>
    <t>trevor.nathan@beslegal.co.uk</t>
  </si>
  <si>
    <t xml:space="preserve">PCS Legal </t>
  </si>
  <si>
    <t>5 The Capricorn Centre</t>
  </si>
  <si>
    <t>Cranes Farm Road</t>
  </si>
  <si>
    <t>SS14 3JA</t>
  </si>
  <si>
    <t>lms@pcslegal.co.uk</t>
  </si>
  <si>
    <t>Ongar</t>
  </si>
  <si>
    <t>suite 25-33 Central House</t>
  </si>
  <si>
    <t>CM5 9AA</t>
  </si>
  <si>
    <t xml:space="preserve">lms@pcslegal.co.uk </t>
  </si>
  <si>
    <t xml:space="preserve">Wickford </t>
  </si>
  <si>
    <t>5 Station Court</t>
  </si>
  <si>
    <t>Station Approach</t>
  </si>
  <si>
    <t>Wickford</t>
  </si>
  <si>
    <t>SS11 7AT</t>
  </si>
  <si>
    <t>Suite 301, 150 Minories</t>
  </si>
  <si>
    <t>EC3N 1LS</t>
  </si>
  <si>
    <t>98-100 High Road</t>
  </si>
  <si>
    <t>SS6 7AE</t>
  </si>
  <si>
    <t xml:space="preserve">admin@pcslegal.co.uk </t>
  </si>
  <si>
    <t>Frinton on Sea</t>
  </si>
  <si>
    <t>20 Connaught Avenue</t>
  </si>
  <si>
    <t>CO13 9PW</t>
  </si>
  <si>
    <t>Frinton@PCSLegal.co.u</t>
  </si>
  <si>
    <t>Donaldson West LLP</t>
  </si>
  <si>
    <t>The Lodge, Eridge Road</t>
  </si>
  <si>
    <t>Crowborough</t>
  </si>
  <si>
    <t>TN6 2SL</t>
  </si>
  <si>
    <t>vjf@dwlaw-online.com</t>
  </si>
  <si>
    <t>Milne Moser Solicitors</t>
  </si>
  <si>
    <t>100 Highgate</t>
  </si>
  <si>
    <t>Kendal</t>
  </si>
  <si>
    <t>LA9 4HE</t>
  </si>
  <si>
    <t>stephen@milnemoser.co.uk</t>
  </si>
  <si>
    <t>Westmorland House, The Square</t>
  </si>
  <si>
    <t>Milnthorpe</t>
  </si>
  <si>
    <t>LA7 7QJ</t>
  </si>
  <si>
    <t>rebeccacoombes@milnemoser.co.uk</t>
  </si>
  <si>
    <t>Larken &amp; Co</t>
  </si>
  <si>
    <t>10 Lombard Street</t>
  </si>
  <si>
    <t>NG24 1XE</t>
  </si>
  <si>
    <t>Selina.turner@larken.co.uk</t>
  </si>
  <si>
    <t>29 Abbey Road</t>
  </si>
  <si>
    <t>NG2 5NG</t>
  </si>
  <si>
    <t>Macks Solicitors Limited</t>
  </si>
  <si>
    <t xml:space="preserve">4 Woodlands Road, </t>
  </si>
  <si>
    <t xml:space="preserve">Middlesbrough, </t>
  </si>
  <si>
    <t xml:space="preserve">Cleveland, </t>
  </si>
  <si>
    <t>TS1 3BE</t>
  </si>
  <si>
    <t>jane.carey@macks.co.uk</t>
  </si>
  <si>
    <t>12 Milbank Terrace</t>
  </si>
  <si>
    <t>TS10 1ED</t>
  </si>
  <si>
    <t>property@macks.co.uk</t>
  </si>
  <si>
    <t>1 Peel Court, 24 St. Cuthberts Way</t>
  </si>
  <si>
    <t>DL1 1GB</t>
  </si>
  <si>
    <t>Et Law Limited</t>
  </si>
  <si>
    <t>Stamford Green, 33 Stamford Street</t>
  </si>
  <si>
    <t>WA14 1ES</t>
  </si>
  <si>
    <t>d.gonzalez@stamfordlegal.co.uk</t>
  </si>
  <si>
    <t>LGWP Limited</t>
  </si>
  <si>
    <t>22 St Andrews Crescent</t>
  </si>
  <si>
    <t>CF10 3DD</t>
  </si>
  <si>
    <t>s.mills@cardiff-law.co.uk</t>
  </si>
  <si>
    <t>Chartahouse Ltd</t>
  </si>
  <si>
    <t>10 Mannamead Road</t>
  </si>
  <si>
    <t>PL4 7AA</t>
  </si>
  <si>
    <t>peter@chartahouse.co.uk</t>
  </si>
  <si>
    <t>Clapham &amp; Collinge LLP</t>
  </si>
  <si>
    <t>St Catherine's House</t>
  </si>
  <si>
    <t>All Saints Green</t>
  </si>
  <si>
    <t>NR1 3GA</t>
  </si>
  <si>
    <t>egibson@clapham-collinge.co.uk</t>
  </si>
  <si>
    <t>3 Augusta Street</t>
  </si>
  <si>
    <t>Sheringham</t>
  </si>
  <si>
    <t>NR26 8LA</t>
  </si>
  <si>
    <t>North Walsham</t>
  </si>
  <si>
    <t>46-47 Market Place</t>
  </si>
  <si>
    <t>NR28 9BT</t>
  </si>
  <si>
    <t>Norris and Miles LLP</t>
  </si>
  <si>
    <t>6 Market Square</t>
  </si>
  <si>
    <t>Tenbury Wells</t>
  </si>
  <si>
    <t>WR15 8BW</t>
  </si>
  <si>
    <t>sharonhopewell@norrismiles.co.uk</t>
  </si>
  <si>
    <t>Phew Legal Services Limited</t>
  </si>
  <si>
    <t>24-28 Bloomsbury Way</t>
  </si>
  <si>
    <t>WC1A 2SN</t>
  </si>
  <si>
    <t>mahinanp@smartlegal.co.uk</t>
  </si>
  <si>
    <t>Kidd &amp; Spoor Solicitors Limited</t>
  </si>
  <si>
    <t>7 Marden Road</t>
  </si>
  <si>
    <t>Whitley Bay</t>
  </si>
  <si>
    <t>NE26 2JN</t>
  </si>
  <si>
    <t>trish.hall@kiddspoorlaw.co.uk</t>
  </si>
  <si>
    <t>Martin Shepherd Solicitors LLP</t>
  </si>
  <si>
    <t>Maple House, High Street</t>
  </si>
  <si>
    <t>Potters Bar</t>
  </si>
  <si>
    <t>EN6 5BS</t>
  </si>
  <si>
    <t>acd@martinshepherd.co.uk</t>
  </si>
  <si>
    <t>753 High Road</t>
  </si>
  <si>
    <t>N12 8LG</t>
  </si>
  <si>
    <t>finchley@martinshepherd.co.uk</t>
  </si>
  <si>
    <t>Wilton House, 3-5 Cowbridge</t>
  </si>
  <si>
    <t>SG14 1PG</t>
  </si>
  <si>
    <t>hertford@martinshepherd.co.uk</t>
  </si>
  <si>
    <t>Scott Bailey LLP</t>
  </si>
  <si>
    <t>SO41 9ZT</t>
  </si>
  <si>
    <t>victoria@scottbailey.co.uk</t>
  </si>
  <si>
    <t>4 Romsey Road</t>
  </si>
  <si>
    <t>Lyndhurst</t>
  </si>
  <si>
    <t>SO43 7AA</t>
  </si>
  <si>
    <t>law@scottbailey.co.uk</t>
  </si>
  <si>
    <t>Jepson Longstaff Midgley Solicitors LLP</t>
  </si>
  <si>
    <t>Wesley House 1 Lora Courtyard</t>
  </si>
  <si>
    <t>Wykeham</t>
  </si>
  <si>
    <t>YO13 9QP</t>
  </si>
  <si>
    <t>info@jlmsolicitors.co.uk</t>
  </si>
  <si>
    <t>McGarry Law LLP</t>
  </si>
  <si>
    <t>21 Galgate</t>
  </si>
  <si>
    <t>Barnard Castle</t>
  </si>
  <si>
    <t>DL12 8EQ</t>
  </si>
  <si>
    <t>angela.baitson@mcgarrylaw.co.uk</t>
  </si>
  <si>
    <t>Hawes</t>
  </si>
  <si>
    <t>DL8 3QX</t>
  </si>
  <si>
    <t>Sedbergh</t>
  </si>
  <si>
    <t>54 Main Street</t>
  </si>
  <si>
    <t>LA10 5AB</t>
  </si>
  <si>
    <t>Leyburn</t>
  </si>
  <si>
    <t>7 Railway Street</t>
  </si>
  <si>
    <t>DL8 5EH</t>
  </si>
  <si>
    <t>Grassington</t>
  </si>
  <si>
    <t>6 Station Road</t>
  </si>
  <si>
    <t>BD23 5NQ</t>
  </si>
  <si>
    <t>53 Coniscliffe Road</t>
  </si>
  <si>
    <t>Crook</t>
  </si>
  <si>
    <t>Corner Chambers, Market Place</t>
  </si>
  <si>
    <t>DL15 8NE</t>
  </si>
  <si>
    <t>mc@smith-roddam.co.uk</t>
  </si>
  <si>
    <t>Bishop Auckland</t>
  </si>
  <si>
    <t>56 North Bondgate</t>
  </si>
  <si>
    <t>DL14 7PG</t>
  </si>
  <si>
    <t>nat@smith-roddam.co.uk</t>
  </si>
  <si>
    <t>Shildon</t>
  </si>
  <si>
    <t>18 Church Street</t>
  </si>
  <si>
    <t>DL4 1DX</t>
  </si>
  <si>
    <t>ljs@smith-roddam.co.uk</t>
  </si>
  <si>
    <t>Ware &amp; Kay Solicitors Ltd</t>
  </si>
  <si>
    <t>Sentinel House, Peasholme Green</t>
  </si>
  <si>
    <t>YO1 7PP</t>
  </si>
  <si>
    <t>holly.stevens@warekay.co.uk</t>
  </si>
  <si>
    <t>3 Wharfe Mews, Cliffe Terrace</t>
  </si>
  <si>
    <t>LS22 6LX</t>
  </si>
  <si>
    <t>2 Market Street</t>
  </si>
  <si>
    <t>Malton</t>
  </si>
  <si>
    <t>YO17 7AS</t>
  </si>
  <si>
    <t>Bryan and Mercer Ltd</t>
  </si>
  <si>
    <t>59 London Road</t>
  </si>
  <si>
    <t>AL1 1LJ</t>
  </si>
  <si>
    <t>shelley.spyrides@bryanandmercer.co.uk</t>
  </si>
  <si>
    <t>Ocean Property Lawyers Ltd</t>
  </si>
  <si>
    <t>199 Whiteladies Road</t>
  </si>
  <si>
    <t>Clifton</t>
  </si>
  <si>
    <t>BS8 2SB</t>
  </si>
  <si>
    <t>m.pucarelli@oceanhome.co.uk</t>
  </si>
  <si>
    <t>Bishopston</t>
  </si>
  <si>
    <t>199 Gloucester Road</t>
  </si>
  <si>
    <t>BS7 8BG</t>
  </si>
  <si>
    <t>bishopstonlawyers@oceanhome.co.uk</t>
  </si>
  <si>
    <t>Unit 7 The Willowbrook Centre</t>
  </si>
  <si>
    <t>Savages Wood Road</t>
  </si>
  <si>
    <t>BS32 8BS</t>
  </si>
  <si>
    <t>bradleystokelawyers@oceanhome.co.uk</t>
  </si>
  <si>
    <t>Southville</t>
  </si>
  <si>
    <t>275 North Street</t>
  </si>
  <si>
    <t>BS3 1JN</t>
  </si>
  <si>
    <t>southvillelawyers@oceanhome.co.uk</t>
  </si>
  <si>
    <t>73 Westbury Hill</t>
  </si>
  <si>
    <t>Westbury-on-Trym</t>
  </si>
  <si>
    <t>BS9 3AD</t>
  </si>
  <si>
    <t>westburyontrymlawyers@oceanhome.co.uk</t>
  </si>
  <si>
    <t>Portishead</t>
  </si>
  <si>
    <t>43 High Street</t>
  </si>
  <si>
    <t>BS20 6AA</t>
  </si>
  <si>
    <t>portisheadlawyers@oceanhome.co.uk</t>
  </si>
  <si>
    <t>11a Badminton Road</t>
  </si>
  <si>
    <t>Downend</t>
  </si>
  <si>
    <t>BS16 6BD</t>
  </si>
  <si>
    <t>downendlawyers@oceanhome.co.uk</t>
  </si>
  <si>
    <t>Filton</t>
  </si>
  <si>
    <t>8 Gloucester Road North</t>
  </si>
  <si>
    <t>BS7 0SF</t>
  </si>
  <si>
    <t>filtonlawyers@oceanhome.co.uk</t>
  </si>
  <si>
    <t>Marshall Hatchick LLP</t>
  </si>
  <si>
    <t>IP12 1DH</t>
  </si>
  <si>
    <t>betty.parker@marshallhatchick.co.uk</t>
  </si>
  <si>
    <t>Old Bank House</t>
  </si>
  <si>
    <t>Saxmundham</t>
  </si>
  <si>
    <t>IP17 1EL</t>
  </si>
  <si>
    <t xml:space="preserve">betty.parker@marshallhatchick.co.uk </t>
  </si>
  <si>
    <t>Brewer Wallace Ltd</t>
  </si>
  <si>
    <t>2 Parliament Street</t>
  </si>
  <si>
    <t>HU1 2AP</t>
  </si>
  <si>
    <t>info@brewerwallace.co.uk</t>
  </si>
  <si>
    <t>10 Southgate Court</t>
  </si>
  <si>
    <t>Southgate</t>
  </si>
  <si>
    <t>HU18 1RP</t>
  </si>
  <si>
    <t>Unsworth Rose (Solicitors) LLP</t>
  </si>
  <si>
    <t>19 Princess Road</t>
  </si>
  <si>
    <t>NW1 8JR</t>
  </si>
  <si>
    <t>rj@unsworthrose.co.uk</t>
  </si>
  <si>
    <t>Howard &amp; Over LLP</t>
  </si>
  <si>
    <t>8 &amp; 9 Glanvilles Mill</t>
  </si>
  <si>
    <t>PL21 9PS</t>
  </si>
  <si>
    <t>claire.waldren@howard-over.co.uk</t>
  </si>
  <si>
    <t>Plym House, 3 Longbridge Road</t>
  </si>
  <si>
    <t>Marsh Mills</t>
  </si>
  <si>
    <t>PL6 8LT</t>
  </si>
  <si>
    <t>Newton Abbot</t>
  </si>
  <si>
    <t>34 Devon Square</t>
  </si>
  <si>
    <t>TQ12 2HH</t>
  </si>
  <si>
    <t>newton@howard-over.co.uk</t>
  </si>
  <si>
    <t>Kieran Clarke Green Limited</t>
  </si>
  <si>
    <t>36 Clarence Road</t>
  </si>
  <si>
    <t>S40 1XB</t>
  </si>
  <si>
    <t>kerry.taff@kieranclarke.co.uk</t>
  </si>
  <si>
    <t>Cadmans Law Limited</t>
  </si>
  <si>
    <t>Churchill House, Northgate</t>
  </si>
  <si>
    <t>BD19 3HH</t>
  </si>
  <si>
    <t>sn@cadmans-solicitors.co.uk</t>
  </si>
  <si>
    <t>Vivash Brand LLP</t>
  </si>
  <si>
    <t>Nonsuch House, London Road</t>
  </si>
  <si>
    <t>SM3 9AA</t>
  </si>
  <si>
    <t>jm@vbllp.co.uk</t>
  </si>
  <si>
    <t>Now Legal LLP</t>
  </si>
  <si>
    <t>4 Brunel Way</t>
  </si>
  <si>
    <t>Segensworth East</t>
  </si>
  <si>
    <t>PO15 5TX</t>
  </si>
  <si>
    <t>yvonne.stephenson@now-legal.com</t>
  </si>
  <si>
    <t>Cooper Nimmo Ltd</t>
  </si>
  <si>
    <t>237 Church Street</t>
  </si>
  <si>
    <t xml:space="preserve">Blackpool </t>
  </si>
  <si>
    <t>FY1 3PB</t>
  </si>
  <si>
    <t>joanne@coopernimmo.co.uk</t>
  </si>
  <si>
    <t>Go Convey Limited</t>
  </si>
  <si>
    <t>First Floor Trinity Court</t>
  </si>
  <si>
    <t>28 Newton Road</t>
  </si>
  <si>
    <t>B43 6BW</t>
  </si>
  <si>
    <t>lisahaylock@goconvey.co.uk</t>
  </si>
  <si>
    <t>Swayne Johnson Limited</t>
  </si>
  <si>
    <t>2 Hall Square</t>
  </si>
  <si>
    <t>Denbigh</t>
  </si>
  <si>
    <t>Denbighshire</t>
  </si>
  <si>
    <t>LL16 3PA</t>
  </si>
  <si>
    <t>michaelt@swaynejohnson.com</t>
  </si>
  <si>
    <t>Church House, High Street</t>
  </si>
  <si>
    <t>St Asaph</t>
  </si>
  <si>
    <t>LL17 0RD</t>
  </si>
  <si>
    <t>Trinity Square Business Centre</t>
  </si>
  <si>
    <t>3 Trinity Square</t>
  </si>
  <si>
    <t>Llandudno</t>
  </si>
  <si>
    <t>LL30 2PY</t>
  </si>
  <si>
    <t>law@swaynejohnson.com</t>
  </si>
  <si>
    <t>23 Clwyd Street</t>
  </si>
  <si>
    <t>Ruthin</t>
  </si>
  <si>
    <t>LL15 1HH</t>
  </si>
  <si>
    <t>Mold</t>
  </si>
  <si>
    <t>2 New Street</t>
  </si>
  <si>
    <t>Flintshire</t>
  </si>
  <si>
    <t>CH7 1NZ</t>
  </si>
  <si>
    <t>Field Overell LLP</t>
  </si>
  <si>
    <t>42 Warwick Street</t>
  </si>
  <si>
    <t>CV32 5JS</t>
  </si>
  <si>
    <t>sv@fieldoverell.com</t>
  </si>
  <si>
    <t>Coventry</t>
  </si>
  <si>
    <t>8-10 Corporation Street</t>
  </si>
  <si>
    <t xml:space="preserve">West Midlands, </t>
  </si>
  <si>
    <t>CV1 1GF</t>
  </si>
  <si>
    <t>Brewer Harding &amp; Rowe Solicitors LLP</t>
  </si>
  <si>
    <t>1, The Square</t>
  </si>
  <si>
    <t>Barnstaple</t>
  </si>
  <si>
    <t>EX32 8LS</t>
  </si>
  <si>
    <t>wendyjohnson@bhrlaw.co.uk</t>
  </si>
  <si>
    <t>29 Bridgeland Street</t>
  </si>
  <si>
    <t>EX39 2PT</t>
  </si>
  <si>
    <t>bideford@bhrlaw.co.uk</t>
  </si>
  <si>
    <t>6-8 Caen Street</t>
  </si>
  <si>
    <t>Braunton</t>
  </si>
  <si>
    <t>EX33 1AA</t>
  </si>
  <si>
    <t>Richard J Knaggs &amp; Co LLP</t>
  </si>
  <si>
    <t>119 High Street</t>
  </si>
  <si>
    <t>TS10 3DG</t>
  </si>
  <si>
    <t>stuart.lisgo@richardjknaggs.co.uk</t>
  </si>
  <si>
    <t>Moseleys</t>
  </si>
  <si>
    <t>Compton House Bore Street</t>
  </si>
  <si>
    <t>Lichfield</t>
  </si>
  <si>
    <t>WS13 6LL</t>
  </si>
  <si>
    <t>pbladon@moseleys.co.uk</t>
  </si>
  <si>
    <t>Insight Legal Services Limited</t>
  </si>
  <si>
    <t>2nd Floor, Copse Walk</t>
  </si>
  <si>
    <t xml:space="preserve">Cardiff Gate Business Park, Pontprennau, </t>
  </si>
  <si>
    <t xml:space="preserve">Cardiff  </t>
  </si>
  <si>
    <t>CF23 8RB</t>
  </si>
  <si>
    <t>lmason@insight-law.co.uk</t>
  </si>
  <si>
    <t>2nd Floor, Langford Lodge, 109 Pembroke Road</t>
  </si>
  <si>
    <t>BS8 3EU</t>
  </si>
  <si>
    <t>Solomon Taylor &amp; Shaw LLP</t>
  </si>
  <si>
    <t>3 Coach House Yard, Hampstead High Street</t>
  </si>
  <si>
    <t>NW3 1QF</t>
  </si>
  <si>
    <t>lucy@solts.co.uk</t>
  </si>
  <si>
    <t>Anderson Partnership Solicitors</t>
  </si>
  <si>
    <t>71 Saltergate</t>
  </si>
  <si>
    <t>S40 1JS</t>
  </si>
  <si>
    <t>alison@andersonslaw.co.uk</t>
  </si>
  <si>
    <t>Hand Morgan &amp; Owen</t>
  </si>
  <si>
    <t>17 Martin Street</t>
  </si>
  <si>
    <t>Staffordshrie</t>
  </si>
  <si>
    <t>ST16 2LF</t>
  </si>
  <si>
    <t>kstokes@hmo.co.uk</t>
  </si>
  <si>
    <t>3 Albion Street</t>
  </si>
  <si>
    <t>Rugeley</t>
  </si>
  <si>
    <t>WS15 2BY</t>
  </si>
  <si>
    <t>City Law Chambers Limited</t>
  </si>
  <si>
    <t>22 Guildford Street</t>
  </si>
  <si>
    <t>LU1 2NR</t>
  </si>
  <si>
    <t>info@citylawchambers.com</t>
  </si>
  <si>
    <t>Foskett Marr Gadsby &amp; Head LLP</t>
  </si>
  <si>
    <t>181 High Street</t>
  </si>
  <si>
    <t>CM16 4BQ</t>
  </si>
  <si>
    <t>duncangadsby@foskettmarr.co.uk</t>
  </si>
  <si>
    <t>Loughton</t>
  </si>
  <si>
    <t>106/108 High Road</t>
  </si>
  <si>
    <t>IG10 4HN</t>
  </si>
  <si>
    <t>Fieldings Porter</t>
  </si>
  <si>
    <t>Silverwell House, 32 Silverwell Street</t>
  </si>
  <si>
    <t>BL1 1PT</t>
  </si>
  <si>
    <t>Kerry.edge@fieldingsporter.co.uk</t>
  </si>
  <si>
    <t>3 Hardman Square</t>
  </si>
  <si>
    <t>info@fieldingsporter.co.uk</t>
  </si>
  <si>
    <t>Burgoyne &amp; Co</t>
  </si>
  <si>
    <t>11a Vicarage Place</t>
  </si>
  <si>
    <t>Walsall</t>
  </si>
  <si>
    <t>WS1 3NA</t>
  </si>
  <si>
    <t>paul@burgoynesolicitors.co.uk</t>
  </si>
  <si>
    <t>Neale Turk LLP</t>
  </si>
  <si>
    <t>74 Bounty Road</t>
  </si>
  <si>
    <t>RG21 3BZ</t>
  </si>
  <si>
    <t>jwheeler@nealeturk.co.uk</t>
  </si>
  <si>
    <t>Witton House, 91 Fleet Road</t>
  </si>
  <si>
    <t>HartLaw LLP</t>
  </si>
  <si>
    <t>63 St. James Street</t>
  </si>
  <si>
    <t>LS22 6RS</t>
  </si>
  <si>
    <t>michelle@hartlaw.co.uk</t>
  </si>
  <si>
    <t xml:space="preserve">Quastels LLP </t>
  </si>
  <si>
    <t>2nd Floor South</t>
  </si>
  <si>
    <t>55 Baker Street</t>
  </si>
  <si>
    <t>W1U 8EW</t>
  </si>
  <si>
    <t>jgoldberg@quastels.com</t>
  </si>
  <si>
    <t>Bowcock &amp; Pursaill LLP</t>
  </si>
  <si>
    <t>54 St Edward Street</t>
  </si>
  <si>
    <t>ST13 5DJ</t>
  </si>
  <si>
    <t>eg@bowcockpursaill.co.uk</t>
  </si>
  <si>
    <t xml:space="preserve">2 Ridge House </t>
  </si>
  <si>
    <t>Ridge House Drive, Festival Park</t>
  </si>
  <si>
    <t>Stoke On Trent</t>
  </si>
  <si>
    <t>ST1 5SJ</t>
  </si>
  <si>
    <t>9-11 Carter Street</t>
  </si>
  <si>
    <t>ST14 8HB</t>
  </si>
  <si>
    <t>Eccleshall</t>
  </si>
  <si>
    <t>8 Stafford Street</t>
  </si>
  <si>
    <t>ST21 6BH</t>
  </si>
  <si>
    <t>Cornish Venning Limited</t>
  </si>
  <si>
    <t>Unit N, Questmap Business Park</t>
  </si>
  <si>
    <t>Longrock</t>
  </si>
  <si>
    <t>TR20 8AS</t>
  </si>
  <si>
    <t>nlorraine@cvc-solicitors.co.uk</t>
  </si>
  <si>
    <t>St Ives</t>
  </si>
  <si>
    <t>Unit 5d, St Ives Business Park</t>
  </si>
  <si>
    <t>Penbeagle Industrial Estate</t>
  </si>
  <si>
    <t>TR26 2JH</t>
  </si>
  <si>
    <t>Hayle</t>
  </si>
  <si>
    <t>52 Fore Street</t>
  </si>
  <si>
    <t>Copperhouse</t>
  </si>
  <si>
    <t>TR27 4DY</t>
  </si>
  <si>
    <t>Richards &amp; Lewis Limited</t>
  </si>
  <si>
    <t>19 Market Street</t>
  </si>
  <si>
    <t>Ebbw Vale</t>
  </si>
  <si>
    <t xml:space="preserve">Blaenau Gwent </t>
  </si>
  <si>
    <t>NP23 6YH</t>
  </si>
  <si>
    <t>dave@richardsandlewissolicitors.com</t>
  </si>
  <si>
    <t xml:space="preserve">Peter Brown &amp; Co Solicitors LLP </t>
  </si>
  <si>
    <t>Ground and First Floor, Comer House</t>
  </si>
  <si>
    <t xml:space="preserve">19 Station Road </t>
  </si>
  <si>
    <t>New Barnet</t>
  </si>
  <si>
    <t xml:space="preserve">Hertfordshire </t>
  </si>
  <si>
    <t>EN5 1QJ</t>
  </si>
  <si>
    <t>info@peterbrown-solicitors.com</t>
  </si>
  <si>
    <t>Riverside House, 27D High Street</t>
  </si>
  <si>
    <t>Ware</t>
  </si>
  <si>
    <t>SG12 9BA</t>
  </si>
  <si>
    <t>GJ Templeman Solicitors Ltd</t>
  </si>
  <si>
    <t>Templeman House</t>
  </si>
  <si>
    <t>16 College Avenue</t>
  </si>
  <si>
    <t>HA3 6HB</t>
  </si>
  <si>
    <t>rajan@gjtempleman.co.uk</t>
  </si>
  <si>
    <t>Williams &amp; Co (Huddersfield) Limited</t>
  </si>
  <si>
    <t>Brooke House, 3-5 Dewsbury Road,</t>
  </si>
  <si>
    <t>Cleckheaton,</t>
  </si>
  <si>
    <t>BD19 3RS</t>
  </si>
  <si>
    <t>carolbellis@williamsco.legal</t>
  </si>
  <si>
    <t>Revenue Chambers</t>
  </si>
  <si>
    <t>St Peters Street</t>
  </si>
  <si>
    <t>HD1 1DL</t>
  </si>
  <si>
    <t>Merchant House, 24 Cheapside</t>
  </si>
  <si>
    <t>WF1 2TF</t>
  </si>
  <si>
    <t>Brown Barron Solicitors LLP</t>
  </si>
  <si>
    <t>65 Duke Street</t>
  </si>
  <si>
    <t>LA14 1RW</t>
  </si>
  <si>
    <t>tracy.lister@brown-barron.co.uk</t>
  </si>
  <si>
    <t xml:space="preserve">HKB Wiltshires </t>
  </si>
  <si>
    <t>21 Hall Quay</t>
  </si>
  <si>
    <t xml:space="preserve">Great Yarmouth </t>
  </si>
  <si>
    <t xml:space="preserve">Norfolk </t>
  </si>
  <si>
    <t>NR30 1HP</t>
  </si>
  <si>
    <t>samanthabrannigan@hkbw.co.uk</t>
  </si>
  <si>
    <t xml:space="preserve">Lowestoft </t>
  </si>
  <si>
    <t>Wolseley House, 1 Quay View Business Park</t>
  </si>
  <si>
    <t>Barnards Way</t>
  </si>
  <si>
    <t>NR32 2HD</t>
  </si>
  <si>
    <t>info@hkbw.co.uk</t>
  </si>
  <si>
    <t>Kennan Kay Kerr Legal Services LLP</t>
  </si>
  <si>
    <t>246 Stanley Road</t>
  </si>
  <si>
    <t>L20 3ER</t>
  </si>
  <si>
    <t>marie@kennankay.co.uk</t>
  </si>
  <si>
    <t>RS Solicitors Ltd</t>
  </si>
  <si>
    <t>20 -22 Carr Road</t>
  </si>
  <si>
    <t>BB9 7LB</t>
  </si>
  <si>
    <t>nadeem.ahmed@robertssmith.com</t>
  </si>
  <si>
    <t>222 Colne Road</t>
  </si>
  <si>
    <t>BB10 1DY</t>
  </si>
  <si>
    <t>6 Manchester Rd</t>
  </si>
  <si>
    <t>BB4 5ST</t>
  </si>
  <si>
    <t>shazad@robertssmith.com</t>
  </si>
  <si>
    <t>Janet Middleton Licensed Conveyancer</t>
  </si>
  <si>
    <t>1 Wrekin Drive</t>
  </si>
  <si>
    <t>Donnington</t>
  </si>
  <si>
    <t>TF2 8DN</t>
  </si>
  <si>
    <t>janet@middletonlaw.co.uk</t>
  </si>
  <si>
    <t>Sharman and Son</t>
  </si>
  <si>
    <t>4 Coronation Road</t>
  </si>
  <si>
    <t>L23 3BJ</t>
  </si>
  <si>
    <t>peter@sharmansolicitors.com</t>
  </si>
  <si>
    <t xml:space="preserve">Mid Beds Conveyancing Services Ltd </t>
  </si>
  <si>
    <t>5 &amp; 6 Station Square</t>
  </si>
  <si>
    <t>Filtwick</t>
  </si>
  <si>
    <t>MK45 1DP</t>
  </si>
  <si>
    <t>tom@doddandvaughton.com</t>
  </si>
  <si>
    <t>Blackstone Solicitors Limited</t>
  </si>
  <si>
    <t>Campaign House, 8 Cecil Road</t>
  </si>
  <si>
    <t>Hale</t>
  </si>
  <si>
    <t>WA15 9PA</t>
  </si>
  <si>
    <t>emma@blackstonesolicitorsltd.co.uk</t>
  </si>
  <si>
    <t>Preuveneers LLP</t>
  </si>
  <si>
    <t>103-105 London Road</t>
  </si>
  <si>
    <t>Mitcham</t>
  </si>
  <si>
    <t>CR4 2JA</t>
  </si>
  <si>
    <t>kelly@p-llp.net</t>
  </si>
  <si>
    <t>Giles Wilson Law Limited</t>
  </si>
  <si>
    <t>1711 London Road</t>
  </si>
  <si>
    <t>Leigh on Sea</t>
  </si>
  <si>
    <t>SS9 2SW</t>
  </si>
  <si>
    <t>info@gileswilson.co.uk</t>
  </si>
  <si>
    <t>54 Broadway</t>
  </si>
  <si>
    <t>SS9 1AG</t>
  </si>
  <si>
    <t>Sanders Solicitors</t>
  </si>
  <si>
    <t>18 - 20 Broadway</t>
  </si>
  <si>
    <t>Rainham</t>
  </si>
  <si>
    <t>RM13 9YW</t>
  </si>
  <si>
    <t>enquiries@sanderssolicitors.co.uk</t>
  </si>
  <si>
    <t>Harold Wood</t>
  </si>
  <si>
    <t>2 Queens Park Road</t>
  </si>
  <si>
    <t>RM3 0HJ</t>
  </si>
  <si>
    <t>Birdsall &amp; Snowball</t>
  </si>
  <si>
    <t>10 York Place</t>
  </si>
  <si>
    <t>YO11 2NU</t>
  </si>
  <si>
    <t>pr@birdsall-snowball.co.uk</t>
  </si>
  <si>
    <t>12 West Avenue</t>
  </si>
  <si>
    <t>YO14 9AA</t>
  </si>
  <si>
    <t>reception@birdsall-snowball.co.uk</t>
  </si>
  <si>
    <t>Regency Solicitors</t>
  </si>
  <si>
    <t>46 Highbridge Street</t>
  </si>
  <si>
    <t>Waltham Abbey</t>
  </si>
  <si>
    <t>EN9 1BS</t>
  </si>
  <si>
    <t>Yasmin@regencysolicitors.com</t>
  </si>
  <si>
    <t>6 Chesterfield Gardens</t>
  </si>
  <si>
    <t>W1J 5BQ</t>
  </si>
  <si>
    <t>yasmin@regencysolicitors.com</t>
  </si>
  <si>
    <t>Funnell &amp; Perring</t>
  </si>
  <si>
    <t>192 - 193 Queens Road</t>
  </si>
  <si>
    <t>Hastings</t>
  </si>
  <si>
    <t>TN34 1RG</t>
  </si>
  <si>
    <t>hlake@funnellperring.co.uk</t>
  </si>
  <si>
    <t>Bexhill-on-Sea</t>
  </si>
  <si>
    <t>24 Parkhurst Road</t>
  </si>
  <si>
    <t>TN40 1DF</t>
  </si>
  <si>
    <t xml:space="preserve">officeadmin@funnellperring.co.uk </t>
  </si>
  <si>
    <t>Preston Redman LLP</t>
  </si>
  <si>
    <t>Hinton House, Hinton Road</t>
  </si>
  <si>
    <t>BH1 2EN</t>
  </si>
  <si>
    <t>dca@prestonredman.co.uk</t>
  </si>
  <si>
    <t>Bendles LLP</t>
  </si>
  <si>
    <t>Portland Building, Cooper Way</t>
  </si>
  <si>
    <t>Kingstown</t>
  </si>
  <si>
    <t>CA3 0JG</t>
  </si>
  <si>
    <t>el@bendlessolicitors.co.uk</t>
  </si>
  <si>
    <t>1 Victoria Place, High Street</t>
  </si>
  <si>
    <t>Wigton</t>
  </si>
  <si>
    <t>CA7 9PJ</t>
  </si>
  <si>
    <t>amc@bendlessolicitors.co.uk</t>
  </si>
  <si>
    <t>Whitehaven</t>
  </si>
  <si>
    <t>20 Lowther Street</t>
  </si>
  <si>
    <t>CA28 7AL</t>
  </si>
  <si>
    <t>pt@bendlessolicitors.co.uk</t>
  </si>
  <si>
    <t>2 Mason Court</t>
  </si>
  <si>
    <t>CA11 9GR</t>
  </si>
  <si>
    <t>Info@bendlessolicitors.co.uk</t>
  </si>
  <si>
    <t>Unit 22 Cumberland House,</t>
  </si>
  <si>
    <t>St Lukes Road</t>
  </si>
  <si>
    <t>Kirkby Stephen</t>
  </si>
  <si>
    <t>CA17 4HT</t>
  </si>
  <si>
    <t>Appleby</t>
  </si>
  <si>
    <t>29 Boroughgate</t>
  </si>
  <si>
    <t>CA16 6XG</t>
  </si>
  <si>
    <t>Lewis &amp; Dick Limited</t>
  </si>
  <si>
    <t>443 Kingston Road</t>
  </si>
  <si>
    <t>Epsom</t>
  </si>
  <si>
    <t>KT19 0DG</t>
  </si>
  <si>
    <t>sam.woods@lewis-dick.com</t>
  </si>
  <si>
    <t>18 Brighton Road</t>
  </si>
  <si>
    <t>RH10 6AA</t>
  </si>
  <si>
    <t>crawley@lewis-dick.com</t>
  </si>
  <si>
    <t>Machins Solicitors LLP</t>
  </si>
  <si>
    <t>28 Dunstable Road</t>
  </si>
  <si>
    <t>LU1 1DY</t>
  </si>
  <si>
    <t>saima.shah@machins.co.uk</t>
  </si>
  <si>
    <t>Lockhart House,</t>
  </si>
  <si>
    <t>295-299 High Street</t>
  </si>
  <si>
    <t>HP4 1AJ</t>
  </si>
  <si>
    <t>Law &amp; Property Lawyers Ltd</t>
  </si>
  <si>
    <t>The Greenhouse</t>
  </si>
  <si>
    <t>Stratton Way</t>
  </si>
  <si>
    <t>Abingdon</t>
  </si>
  <si>
    <t>OX14 3QP</t>
  </si>
  <si>
    <t>amanda.hodson@slade-legal.co.uk</t>
  </si>
  <si>
    <t>Didcot</t>
  </si>
  <si>
    <t>The Old Bank, 137 Broadway</t>
  </si>
  <si>
    <t>OX11 8RQ</t>
  </si>
  <si>
    <t>Amanda.hodson@slade-legal.co.uk</t>
  </si>
  <si>
    <t>Wallingford</t>
  </si>
  <si>
    <t>7 St Martins Street</t>
  </si>
  <si>
    <t>OX10 0AN</t>
  </si>
  <si>
    <t>Astle Paterson Limited</t>
  </si>
  <si>
    <t>Clay House, 5 Horninglow Street</t>
  </si>
  <si>
    <t>Burton-on-Trent</t>
  </si>
  <si>
    <t>DE14 1NG</t>
  </si>
  <si>
    <t>swileman@astlepaterson.co.uk</t>
  </si>
  <si>
    <t>Wansbroughs LLP</t>
  </si>
  <si>
    <t>Northgate House,</t>
  </si>
  <si>
    <t>Northgate Street</t>
  </si>
  <si>
    <t>SN10 1JX</t>
  </si>
  <si>
    <t>tim.goodey@wansbroughs.com</t>
  </si>
  <si>
    <t>John Donkin Solicitors Limited</t>
  </si>
  <si>
    <t>A3 Kingfisher House, Kingsway North</t>
  </si>
  <si>
    <t>Team Valley Trading Estate</t>
  </si>
  <si>
    <t>Gateshead</t>
  </si>
  <si>
    <t>NE11 0JQ</t>
  </si>
  <si>
    <t>ls@donkinlaw.co.uk</t>
  </si>
  <si>
    <t>Frettens LLP</t>
  </si>
  <si>
    <t>The Saxon Centre, 11 The Saxon Centre</t>
  </si>
  <si>
    <t>Bargates</t>
  </si>
  <si>
    <t>BH23 1PZ</t>
  </si>
  <si>
    <t>csnow@frettens.co.uk</t>
  </si>
  <si>
    <t>2 Christchurch Road</t>
  </si>
  <si>
    <t>Ringwood</t>
  </si>
  <si>
    <t>BH24 1DN</t>
  </si>
  <si>
    <t>ringwood@frettens.co.uk</t>
  </si>
  <si>
    <t>7 - 8 Church Street</t>
  </si>
  <si>
    <t>BH21 1JH</t>
  </si>
  <si>
    <t>info@frettens.co.uk</t>
  </si>
  <si>
    <t>Barker Gotelee LLP</t>
  </si>
  <si>
    <t>41 Barrack Square</t>
  </si>
  <si>
    <t>IP5 3RF</t>
  </si>
  <si>
    <t>luke.cain@barkergotelee.co.uk</t>
  </si>
  <si>
    <t>J A Taft Conveyancing Limited</t>
  </si>
  <si>
    <t>42 Clarence Road</t>
  </si>
  <si>
    <t>S40 1LQ</t>
  </si>
  <si>
    <t>steven@jataft.co.uk</t>
  </si>
  <si>
    <t>Davis Blank Furniss LLP</t>
  </si>
  <si>
    <t>The Apiary, 86 Deansgate</t>
  </si>
  <si>
    <t>Richard.Hamilton@dbf-law.co.uk</t>
  </si>
  <si>
    <t>10 Ellison Street</t>
  </si>
  <si>
    <t>Glossop</t>
  </si>
  <si>
    <t>SK13 8BZ</t>
  </si>
  <si>
    <t>rachael.phelan@dbf-law.co.uk</t>
  </si>
  <si>
    <t xml:space="preserve">Forbes Solicitors LLP </t>
  </si>
  <si>
    <t>Gordon House</t>
  </si>
  <si>
    <t>Sceptre Way</t>
  </si>
  <si>
    <t>Walton Summit</t>
  </si>
  <si>
    <t>PR5 6AW</t>
  </si>
  <si>
    <t>stephen.warren@forbessolicitors.co.uk</t>
  </si>
  <si>
    <t>Josiah Hincks Solicitors</t>
  </si>
  <si>
    <t xml:space="preserve"> 22 De Montfort Street</t>
  </si>
  <si>
    <t>chall@josiahhincks.co.uk</t>
  </si>
  <si>
    <t>39-41 Belvoir Road</t>
  </si>
  <si>
    <t>LE67 3PD</t>
  </si>
  <si>
    <t>33 Leicester Road</t>
  </si>
  <si>
    <t>LE8 4GR</t>
  </si>
  <si>
    <t>1255 Melton Road</t>
  </si>
  <si>
    <t>LE7 2JT</t>
  </si>
  <si>
    <t>41 High Street</t>
  </si>
  <si>
    <t>Market Harborough</t>
  </si>
  <si>
    <t>LE16 7NL</t>
  </si>
  <si>
    <t>81 St John's</t>
  </si>
  <si>
    <t>Enderby</t>
  </si>
  <si>
    <t>LE19 2BS</t>
  </si>
  <si>
    <t>14 Sheep Market</t>
  </si>
  <si>
    <t>PE9 2RB</t>
  </si>
  <si>
    <t>Hinckley</t>
  </si>
  <si>
    <t>23 Station Road</t>
  </si>
  <si>
    <t>LE10 1AW</t>
  </si>
  <si>
    <t>Marsons Solicitors LLP</t>
  </si>
  <si>
    <t>Bromley Old Town Hall, 30 Tweedy Road</t>
  </si>
  <si>
    <t>BR1 3FE</t>
  </si>
  <si>
    <t>jennifer.white@marsons.co.uk</t>
  </si>
  <si>
    <t>Mogers Drewett LLP</t>
  </si>
  <si>
    <t>St James House, The Square</t>
  </si>
  <si>
    <t>Lower Bristol Road</t>
  </si>
  <si>
    <t>BA2 3BH</t>
  </si>
  <si>
    <t>Michelle.Kadshaw@mogersdrewett.com</t>
  </si>
  <si>
    <t>Bishopbrook House</t>
  </si>
  <si>
    <t>Cathedral Avenue</t>
  </si>
  <si>
    <t>BA5 1FD</t>
  </si>
  <si>
    <t>Sherborne</t>
  </si>
  <si>
    <t>Spring House</t>
  </si>
  <si>
    <t>East Mill Lane</t>
  </si>
  <si>
    <t>DT9 3DP</t>
  </si>
  <si>
    <t>Dyer and Crowe Limited</t>
  </si>
  <si>
    <t>22 Duke Street</t>
  </si>
  <si>
    <t>CM1 1HL</t>
  </si>
  <si>
    <t>tracy@dyerandcrowe.co.uk</t>
  </si>
  <si>
    <t>Guest Walker Limited</t>
  </si>
  <si>
    <t>12a Shambles</t>
  </si>
  <si>
    <t>YO1 7LZ</t>
  </si>
  <si>
    <t>john.walker@guestwalker.co.uk</t>
  </si>
  <si>
    <t>Stratford Solicitors Limited</t>
  </si>
  <si>
    <t>Poynton Chambers, 130 London Road South</t>
  </si>
  <si>
    <t>Poynton</t>
  </si>
  <si>
    <t>SK12 1LQ</t>
  </si>
  <si>
    <t>nick.stratford@stratford-solicitors.com</t>
  </si>
  <si>
    <t>Beeston Shenton Solicitors Ltd</t>
  </si>
  <si>
    <t>64 King Street</t>
  </si>
  <si>
    <t>ST5 1JB</t>
  </si>
  <si>
    <t>Eleanor.adams@beestonshenton.co.uk</t>
  </si>
  <si>
    <t>BBP Legal Limited</t>
  </si>
  <si>
    <t>15 Northumberland Street</t>
  </si>
  <si>
    <t>LA4 4AU</t>
  </si>
  <si>
    <t>gr@bbplegal.co.uk</t>
  </si>
  <si>
    <t>William Heath &amp; Co and Skelly &amp; Corsellis</t>
  </si>
  <si>
    <t>16 Sale Place</t>
  </si>
  <si>
    <t>Sussex Gardens</t>
  </si>
  <si>
    <t>W2 1PX</t>
  </si>
  <si>
    <t>Gaia.Lack@williamheath.co.uk</t>
  </si>
  <si>
    <t>THP Solicitors Limited</t>
  </si>
  <si>
    <t>9 Chalfont Court</t>
  </si>
  <si>
    <t xml:space="preserve">Lower Earley </t>
  </si>
  <si>
    <t>RG6 5SY</t>
  </si>
  <si>
    <t>r.gaylor@thpsolicitors.co.uk</t>
  </si>
  <si>
    <t>64 Bell Street</t>
  </si>
  <si>
    <t>Henley on Thames</t>
  </si>
  <si>
    <t>RG9 2BN</t>
  </si>
  <si>
    <t>Alwena Jones &amp; Bright Limited</t>
  </si>
  <si>
    <t>9 High Street</t>
  </si>
  <si>
    <t>Blaenau Ffestiniog</t>
  </si>
  <si>
    <t>LL41 3DB</t>
  </si>
  <si>
    <t>abright@alwenajonesbright.co.uk</t>
  </si>
  <si>
    <t>Bryn Llewelyn, High Street</t>
  </si>
  <si>
    <t>Tywyn</t>
  </si>
  <si>
    <t>LL36 9AD</t>
  </si>
  <si>
    <t>Barmouth</t>
  </si>
  <si>
    <t>Barclays Bank Chambers, High Street</t>
  </si>
  <si>
    <t>LL42 1DU</t>
  </si>
  <si>
    <t>Dolgellau</t>
  </si>
  <si>
    <t>Jubilee Building, Smithfield Street</t>
  </si>
  <si>
    <t>LL40 1AA</t>
  </si>
  <si>
    <t>KBL Solicitors LLP</t>
  </si>
  <si>
    <t>New Mansion House</t>
  </si>
  <si>
    <t>63-65 Chorley New Road</t>
  </si>
  <si>
    <t>BL1 4QR</t>
  </si>
  <si>
    <t>jthorpe@kbl.co.uk</t>
  </si>
  <si>
    <t>Smith Gadd &amp; Co</t>
  </si>
  <si>
    <t>Courtyard Chambers, 1 The Courtyard</t>
  </si>
  <si>
    <t>RH12 1AT</t>
  </si>
  <si>
    <t>fiona@smithgadd.co.uk</t>
  </si>
  <si>
    <t>Easthams Solicitors Limited</t>
  </si>
  <si>
    <t>Continental House 292-302 Church Street</t>
  </si>
  <si>
    <t>FY1 3QA</t>
  </si>
  <si>
    <t>gregt@easthams.co.uk</t>
  </si>
  <si>
    <t xml:space="preserve">Lawcommercial Trading Limited </t>
  </si>
  <si>
    <t>Unit 2, Fulcrum 2</t>
  </si>
  <si>
    <t>Solent Way</t>
  </si>
  <si>
    <t>Whiteley</t>
  </si>
  <si>
    <t>PO15 7FN</t>
  </si>
  <si>
    <t>lisa.williamson@lawcomm.co.uk</t>
  </si>
  <si>
    <t>Risdons Solicitors LLP</t>
  </si>
  <si>
    <t>Bank Chambers, 10 Bank Square</t>
  </si>
  <si>
    <t>Dulverton</t>
  </si>
  <si>
    <t>TA22 9BU</t>
  </si>
  <si>
    <t>hayley.white@risdons.co.uk</t>
  </si>
  <si>
    <t>18 Fore Street</t>
  </si>
  <si>
    <t>Williton</t>
  </si>
  <si>
    <t>TA4 4QD</t>
  </si>
  <si>
    <t>1 Mendip House, High Street</t>
  </si>
  <si>
    <t>TA1 3SX</t>
  </si>
  <si>
    <t>Minehead</t>
  </si>
  <si>
    <t>6 Bancks Street</t>
  </si>
  <si>
    <t>TA24 5DF</t>
  </si>
  <si>
    <t>12 Fore Street</t>
  </si>
  <si>
    <t>TA21 8AQ</t>
  </si>
  <si>
    <t>18-22 Angel Crescent</t>
  </si>
  <si>
    <t>TA6 3AL</t>
  </si>
  <si>
    <t>Barcan + Kirby LLP</t>
  </si>
  <si>
    <t>111-117 Regent Street</t>
  </si>
  <si>
    <t>Kingswood</t>
  </si>
  <si>
    <t>BS15 8LJ</t>
  </si>
  <si>
    <t>G.Artess@barcankirby.co.uk</t>
  </si>
  <si>
    <t>25 North Street</t>
  </si>
  <si>
    <t>Bedminster</t>
  </si>
  <si>
    <t>BS3 1EN</t>
  </si>
  <si>
    <t>60 Gloucester Road</t>
  </si>
  <si>
    <t>BS7 8BH</t>
  </si>
  <si>
    <t>g.artess@barcankirby.co.uk</t>
  </si>
  <si>
    <t>Second Floor Prince House</t>
  </si>
  <si>
    <t>43-51 Prince Street</t>
  </si>
  <si>
    <t>BS1 4PS</t>
  </si>
  <si>
    <t>Thornbury</t>
  </si>
  <si>
    <t>36 High Street</t>
  </si>
  <si>
    <t>BS35 2AJ</t>
  </si>
  <si>
    <t xml:space="preserve">Gregsons </t>
  </si>
  <si>
    <t>St Christophers House</t>
  </si>
  <si>
    <t>19 Tabor Grove</t>
  </si>
  <si>
    <t>SW19 4EX</t>
  </si>
  <si>
    <t>ed.tennant@gregsons.co.uk</t>
  </si>
  <si>
    <t>Cyril Jones &amp; Co inc Stanley Williams</t>
  </si>
  <si>
    <t>19 Grosvenor road</t>
  </si>
  <si>
    <t>Wrexham</t>
  </si>
  <si>
    <t>LL11 1DE</t>
  </si>
  <si>
    <t>hugh.lloyd@cyril-jones.co.uk</t>
  </si>
  <si>
    <t>89 Chester Road West</t>
  </si>
  <si>
    <t>Shotton</t>
  </si>
  <si>
    <t>Deeside</t>
  </si>
  <si>
    <t>Conwy</t>
  </si>
  <si>
    <t>CH5 1BZ</t>
  </si>
  <si>
    <t>amy.skelly@cyril-jones.co.uk</t>
  </si>
  <si>
    <t>Curtis Law LLP</t>
  </si>
  <si>
    <t>The Apex</t>
  </si>
  <si>
    <t>Derriford Business Park, Brest Road</t>
  </si>
  <si>
    <t>PL6 5FL</t>
  </si>
  <si>
    <t>lenderpanelnotifications@cwcsolicitors.co.uk</t>
  </si>
  <si>
    <t>Torpoint</t>
  </si>
  <si>
    <t>Unit 23-25 Enterprise Court</t>
  </si>
  <si>
    <t>Marine Drive</t>
  </si>
  <si>
    <t>PL11 2EH</t>
  </si>
  <si>
    <t>Tavistock</t>
  </si>
  <si>
    <t>Ridge Grove, 3 Russell Street</t>
  </si>
  <si>
    <t>PL19 8BD</t>
  </si>
  <si>
    <t>247 Dean Cross Road</t>
  </si>
  <si>
    <t>PL9 7AZ</t>
  </si>
  <si>
    <t>Winslade Park</t>
  </si>
  <si>
    <t>Manor Drive</t>
  </si>
  <si>
    <t>Clyst St Mary</t>
  </si>
  <si>
    <t>EX5 1FY</t>
  </si>
  <si>
    <t xml:space="preserve">Terence Michael Willey &amp; Company Limited </t>
  </si>
  <si>
    <t>27a Cross Street,</t>
  </si>
  <si>
    <t xml:space="preserve">Ryde </t>
  </si>
  <si>
    <t xml:space="preserve">Isle of Wight </t>
  </si>
  <si>
    <t>PO33 2AA</t>
  </si>
  <si>
    <t>mark.willey@terencewilley.co.uk</t>
  </si>
  <si>
    <t>Breens Solicitors Limited</t>
  </si>
  <si>
    <t>30 Hoghton Street</t>
  </si>
  <si>
    <t>PR9 0PA</t>
  </si>
  <si>
    <t>c.bragg@breensonline.co.uk</t>
  </si>
  <si>
    <t>Waterloo</t>
  </si>
  <si>
    <t>34 Crosby Road North</t>
  </si>
  <si>
    <t>L22 4QG</t>
  </si>
  <si>
    <t>Taggart Legal Services Limited</t>
  </si>
  <si>
    <t>19 St. Michaels Road</t>
  </si>
  <si>
    <t>TR7 1LL</t>
  </si>
  <si>
    <t>conveyancing@tls-solicitors.co.uk</t>
  </si>
  <si>
    <t>17 Hanover Square</t>
  </si>
  <si>
    <t>W1S 1BN</t>
  </si>
  <si>
    <t xml:space="preserve">78 Lemon Street </t>
  </si>
  <si>
    <t>TR1 2PZ</t>
  </si>
  <si>
    <t xml:space="preserve">reception@carlyonandson.co.uk </t>
  </si>
  <si>
    <t>Pluck Andrew Solicitors Limited</t>
  </si>
  <si>
    <t xml:space="preserve">6-16a Norfolk Street, </t>
  </si>
  <si>
    <t xml:space="preserve">Hyde, </t>
  </si>
  <si>
    <t>SK14 1NB</t>
  </si>
  <si>
    <t>timmale@pluckandrew.com</t>
  </si>
  <si>
    <t>DMA Law Limited</t>
  </si>
  <si>
    <t>Ground Floor, Traynor House</t>
  </si>
  <si>
    <t>Whitehouse Business Park</t>
  </si>
  <si>
    <t>Peterlee</t>
  </si>
  <si>
    <t>SR8 2RU</t>
  </si>
  <si>
    <t>enquiries@dma-law.co.uk</t>
  </si>
  <si>
    <t>Hartlepool</t>
  </si>
  <si>
    <t>155 -157 York Road</t>
  </si>
  <si>
    <t>TS26 9EQ</t>
  </si>
  <si>
    <t>rachael.elliott@dma-law.co.uk</t>
  </si>
  <si>
    <t>Consett</t>
  </si>
  <si>
    <t xml:space="preserve">2 Middle Street </t>
  </si>
  <si>
    <t>DH8 5QJ</t>
  </si>
  <si>
    <t>4 High Chare</t>
  </si>
  <si>
    <t>Chester le Street</t>
  </si>
  <si>
    <t>DH3 3PX</t>
  </si>
  <si>
    <t>56 Duke Street</t>
  </si>
  <si>
    <t>DL3 7AN</t>
  </si>
  <si>
    <t>26 Frederick Street</t>
  </si>
  <si>
    <t>SR1 1LT</t>
  </si>
  <si>
    <t>Merry &amp; Co</t>
  </si>
  <si>
    <t>73 Union Street</t>
  </si>
  <si>
    <t>office@merryandco.co.uk</t>
  </si>
  <si>
    <t>Gardner Leader LLP</t>
  </si>
  <si>
    <t>White Hart House, Market Place</t>
  </si>
  <si>
    <t>Newbury</t>
  </si>
  <si>
    <t>RG14 5BA</t>
  </si>
  <si>
    <t>s.durrant@gardner-leader.co.uk</t>
  </si>
  <si>
    <t>Winbolt House, The Broadway</t>
  </si>
  <si>
    <t>Thatcham</t>
  </si>
  <si>
    <t>RG19 3HX</t>
  </si>
  <si>
    <t>First Floor, 7 Frascati Way</t>
  </si>
  <si>
    <t>SL6 4UY</t>
  </si>
  <si>
    <t>MJP Law Limited</t>
  </si>
  <si>
    <t>28 Old Road</t>
  </si>
  <si>
    <t>BH21 1EJ</t>
  </si>
  <si>
    <t>m.laszlo@mjplaw.co.uk</t>
  </si>
  <si>
    <t>1611 Wimborne Road</t>
  </si>
  <si>
    <t>Kinson</t>
  </si>
  <si>
    <t>BH11 9AP</t>
  </si>
  <si>
    <t>Bannister Bates Ltd</t>
  </si>
  <si>
    <t>18-22 Northumberland Street</t>
  </si>
  <si>
    <t>LA4 4AX</t>
  </si>
  <si>
    <t>pjbates@bannisterbates.co.uk</t>
  </si>
  <si>
    <t>Crompton Halliwell</t>
  </si>
  <si>
    <t>4/6 St. Marys Place</t>
  </si>
  <si>
    <t>BL9 0EA</t>
  </si>
  <si>
    <t>jgrant@cromptonhalliwell.co.uk</t>
  </si>
  <si>
    <t>Chamberlins Solicitors LLP</t>
  </si>
  <si>
    <t>5 High Street,</t>
  </si>
  <si>
    <t>Caister-on-Sea</t>
  </si>
  <si>
    <t>NR30 5EL</t>
  </si>
  <si>
    <t>pbw@chamberlins.co.uk</t>
  </si>
  <si>
    <t>4 5 &amp; 6 Crown Road</t>
  </si>
  <si>
    <t>NR30 2JP</t>
  </si>
  <si>
    <t>10 Gordon Road</t>
  </si>
  <si>
    <t>Lowestoft</t>
  </si>
  <si>
    <t>NR32 1NL</t>
  </si>
  <si>
    <t>ab@chamberlins.co.uk</t>
  </si>
  <si>
    <t>3 Ballygate</t>
  </si>
  <si>
    <t>Beccles</t>
  </si>
  <si>
    <t>NR34 9NB</t>
  </si>
  <si>
    <t>srh@chamberlins.co.uk</t>
  </si>
  <si>
    <t>Paul Berg &amp; Taylor</t>
  </si>
  <si>
    <t>5 Kinsbourne Court</t>
  </si>
  <si>
    <t>96-100 Luton Road</t>
  </si>
  <si>
    <t>AL5 3BL</t>
  </si>
  <si>
    <t>paul@pbtlaw.com</t>
  </si>
  <si>
    <t>Ashley James Solicitors Limited</t>
  </si>
  <si>
    <t>96 Boldmere Road</t>
  </si>
  <si>
    <t>Sutton Coldfield</t>
  </si>
  <si>
    <t>B73 5UB</t>
  </si>
  <si>
    <t>office@ajsolicitors.com</t>
  </si>
  <si>
    <t>Amicus Law (South West) LLP</t>
  </si>
  <si>
    <t>Regional Rural Business Centre, Market Way</t>
  </si>
  <si>
    <t>TA6 6DF</t>
  </si>
  <si>
    <t>jane.rawles@amicuslaw.co.uk</t>
  </si>
  <si>
    <t>1 Bancks Street</t>
  </si>
  <si>
    <t>TA24 5DJ</t>
  </si>
  <si>
    <t>BA20 1RE</t>
  </si>
  <si>
    <t>yeoviloffice@amicuslaw.co.uk</t>
  </si>
  <si>
    <t>Boulevard House, 17 Southernhay West</t>
  </si>
  <si>
    <t>EX1 1PJ</t>
  </si>
  <si>
    <t>31 North Street</t>
  </si>
  <si>
    <t>Martock</t>
  </si>
  <si>
    <t>TA12 6DH</t>
  </si>
  <si>
    <t>10 Hammet Street</t>
  </si>
  <si>
    <t>TA1 1RZ</t>
  </si>
  <si>
    <t>11-13 East Street</t>
  </si>
  <si>
    <t>Ilminster</t>
  </si>
  <si>
    <t>TA19 0AE</t>
  </si>
  <si>
    <t>7-8 Frederick Place</t>
  </si>
  <si>
    <t>DT4 8HQ</t>
  </si>
  <si>
    <t>info@amicuslaw.co.uk</t>
  </si>
  <si>
    <t>Ground Floor, Raymond Penny House, Phoenix Lane</t>
  </si>
  <si>
    <t>EX16 6LU</t>
  </si>
  <si>
    <t>Davisons Solicitors Limited</t>
  </si>
  <si>
    <t>Sycamore House 54 Calthorpe Road</t>
  </si>
  <si>
    <t>Edgbaston</t>
  </si>
  <si>
    <t>BIRMINGHAM</t>
  </si>
  <si>
    <t>B15 1TH</t>
  </si>
  <si>
    <t>edgbaston@davisons.law</t>
  </si>
  <si>
    <t>63-65 Beckbury Road</t>
  </si>
  <si>
    <t>Weoley Castle</t>
  </si>
  <si>
    <t>B29 5HS</t>
  </si>
  <si>
    <t>Weoley@davisons.law</t>
  </si>
  <si>
    <t>Cotteridge</t>
  </si>
  <si>
    <t>1886/1888 Pershore Road</t>
  </si>
  <si>
    <t>B30 3AS</t>
  </si>
  <si>
    <t>Cotteridge@davisons.law</t>
  </si>
  <si>
    <t>Milford House</t>
  </si>
  <si>
    <t>260 Lichfield Road</t>
  </si>
  <si>
    <t>B74 2UH</t>
  </si>
  <si>
    <t>fouroaks@davisons.law</t>
  </si>
  <si>
    <t>Westbury House</t>
  </si>
  <si>
    <t>701-705 Warwick Road</t>
  </si>
  <si>
    <t>B91 3DA</t>
  </si>
  <si>
    <t>solihull@davisons.law</t>
  </si>
  <si>
    <t>75-77 Colmore Row</t>
  </si>
  <si>
    <t>B3 2AP</t>
  </si>
  <si>
    <t>colmore@davisons.law</t>
  </si>
  <si>
    <t>21 Waterloo Road</t>
  </si>
  <si>
    <t>WV1 4DJ</t>
  </si>
  <si>
    <t>wolverhampton@davisons.law</t>
  </si>
  <si>
    <t>Stratford-upon-Avon</t>
  </si>
  <si>
    <t>20A Rother Street</t>
  </si>
  <si>
    <t>CV37 6NE</t>
  </si>
  <si>
    <t>stratford@davisons.law</t>
  </si>
  <si>
    <t>Friars Mill, Friars Terrace</t>
  </si>
  <si>
    <t xml:space="preserve">Stafford </t>
  </si>
  <si>
    <t>ST17 4AU</t>
  </si>
  <si>
    <t>stafford@davisons.law</t>
  </si>
  <si>
    <t>R W Hemmings &amp; Co Ltd</t>
  </si>
  <si>
    <t>40 Hinckley Road</t>
  </si>
  <si>
    <t>LE3 0RB</t>
  </si>
  <si>
    <t>sg@rwhemmings.co.uk</t>
  </si>
  <si>
    <t>2a Bore Street</t>
  </si>
  <si>
    <t>lichfield@davisons.law</t>
  </si>
  <si>
    <t>4 Euston Place</t>
  </si>
  <si>
    <t>CV32 4LN</t>
  </si>
  <si>
    <t>leamingtonspa@davisons.law</t>
  </si>
  <si>
    <t>266-268 Streatham High Road</t>
  </si>
  <si>
    <t>SW16 1HS</t>
  </si>
  <si>
    <t>streatham@davisons.law</t>
  </si>
  <si>
    <t>12 Warwick Row</t>
  </si>
  <si>
    <t>CV1 1EX</t>
  </si>
  <si>
    <t>coventry@davisons.law</t>
  </si>
  <si>
    <t>Stow-on-the-Wold</t>
  </si>
  <si>
    <t>2-3 Park Street</t>
  </si>
  <si>
    <t>GL54 1AQ</t>
  </si>
  <si>
    <t>stow@davisons.law</t>
  </si>
  <si>
    <t>168 The Parade</t>
  </si>
  <si>
    <t>CV32 4AE</t>
  </si>
  <si>
    <t>newbusiness@jephsonlegal.com</t>
  </si>
  <si>
    <t>LE16 7AF</t>
  </si>
  <si>
    <t>Bryn Ogwy, 3 Court Road</t>
  </si>
  <si>
    <t>CF31 1BL</t>
  </si>
  <si>
    <t>bridgend@dplaw.law</t>
  </si>
  <si>
    <t>Cannock</t>
  </si>
  <si>
    <t>1B Icon House, Mill Street</t>
  </si>
  <si>
    <t>WS11 0DP</t>
  </si>
  <si>
    <t>cannock@davisons.law</t>
  </si>
  <si>
    <t>Penguin House, Unit 3 Raleigh Walk</t>
  </si>
  <si>
    <t>2 Brigantine Place</t>
  </si>
  <si>
    <t>CF10 4LN</t>
  </si>
  <si>
    <t>cardiff@dplaw.law</t>
  </si>
  <si>
    <t>Rugby</t>
  </si>
  <si>
    <t>18-19 Market Place</t>
  </si>
  <si>
    <t xml:space="preserve">CV21 3DU </t>
  </si>
  <si>
    <t>rugby@davisons.law</t>
  </si>
  <si>
    <t>Cowley Di Giorgio</t>
  </si>
  <si>
    <t>63 Harpur Street</t>
  </si>
  <si>
    <t>MK40 2SR</t>
  </si>
  <si>
    <t>roberts@cowleydigiorgio.co.uk</t>
  </si>
  <si>
    <t>G &amp; I Chisholm</t>
  </si>
  <si>
    <t>Bree Shute Court</t>
  </si>
  <si>
    <t>Bodmin</t>
  </si>
  <si>
    <t>PL31 2JE</t>
  </si>
  <si>
    <t>teresa.kay@g-ichisholm.co.uk</t>
  </si>
  <si>
    <t>Pearcelegal Limited</t>
  </si>
  <si>
    <t>2 The Square</t>
  </si>
  <si>
    <t>B91 3RB</t>
  </si>
  <si>
    <t>nicholasthomas@pearcelegal.co.uk</t>
  </si>
  <si>
    <t>Lynch Hall &amp; Hornby</t>
  </si>
  <si>
    <t>Hornby House, 23 Peterborough Road</t>
  </si>
  <si>
    <t>HA1 2BD</t>
  </si>
  <si>
    <t>liz.latimer@lynch-hall.co.uk</t>
  </si>
  <si>
    <t>Chadwick Lawrence LLP</t>
  </si>
  <si>
    <t>13 Railway Street</t>
  </si>
  <si>
    <t>HD1 1JS</t>
  </si>
  <si>
    <t>jodieingle@chadlaw.co.uk</t>
  </si>
  <si>
    <t>The Fire Station</t>
  </si>
  <si>
    <t>Dean Clough Mills</t>
  </si>
  <si>
    <t>HX3 5AX</t>
  </si>
  <si>
    <t>Paragon Point</t>
  </si>
  <si>
    <t>Paragon Business Village</t>
  </si>
  <si>
    <t>WF1 2DF</t>
  </si>
  <si>
    <t>29-31 Commercial Street</t>
  </si>
  <si>
    <t>LS27 8HX</t>
  </si>
  <si>
    <t>8-16 Dock Street</t>
  </si>
  <si>
    <t>LS10 1LX</t>
  </si>
  <si>
    <t>Horbury</t>
  </si>
  <si>
    <t>22 Westfield Road</t>
  </si>
  <si>
    <t>WF4 6HP</t>
  </si>
  <si>
    <t>Titan Business Centre, 3rd Floor Euroway House</t>
  </si>
  <si>
    <t>Roydsdale Way</t>
  </si>
  <si>
    <t>BD4 6SE</t>
  </si>
  <si>
    <t>Guiseley</t>
  </si>
  <si>
    <t>18 Springfield Court</t>
  </si>
  <si>
    <t>LS20 8FD</t>
  </si>
  <si>
    <t>Letchers</t>
  </si>
  <si>
    <t>24 Market Place</t>
  </si>
  <si>
    <t>BH24 1BS</t>
  </si>
  <si>
    <t>Sean.reeves@letchers.co.uk</t>
  </si>
  <si>
    <t>42 High Street</t>
  </si>
  <si>
    <t>BH15 1BT</t>
  </si>
  <si>
    <t>Office 2.10, Business Central, 2 Union Square</t>
  </si>
  <si>
    <t>Central Park</t>
  </si>
  <si>
    <t>DL1 1GL</t>
  </si>
  <si>
    <t>sarahhaller@chadlaw.co.uk</t>
  </si>
  <si>
    <t>Bannister Preston Solicitors LLP</t>
  </si>
  <si>
    <t>28/30 Washway Road</t>
  </si>
  <si>
    <t>M33 7QY</t>
  </si>
  <si>
    <t>info@bannisterpreston.co.uk</t>
  </si>
  <si>
    <t>Irlam</t>
  </si>
  <si>
    <t>180 Liverpool Road</t>
  </si>
  <si>
    <t>M44 6FE</t>
  </si>
  <si>
    <t>law@bannisterprestonirlam.co.uk</t>
  </si>
  <si>
    <t>Avers Enterprises Limited</t>
  </si>
  <si>
    <t>1 Winchester Street</t>
  </si>
  <si>
    <t>RG28 7AH</t>
  </si>
  <si>
    <t>dm@davidmanning.co.uk</t>
  </si>
  <si>
    <t>James Legal Limited</t>
  </si>
  <si>
    <t>Planet House</t>
  </si>
  <si>
    <t xml:space="preserve">2 Woodhouse Street, Hedon Road </t>
  </si>
  <si>
    <t>HU9 1RJ</t>
  </si>
  <si>
    <t>chris.cook@jameslegal.co.uk</t>
  </si>
  <si>
    <t>Suite D, Annie Reed Court, Annie Reed Road</t>
  </si>
  <si>
    <t>Beverley</t>
  </si>
  <si>
    <t>HU17 0LF</t>
  </si>
  <si>
    <t>Chris.cook@jameslegal.co.uk</t>
  </si>
  <si>
    <t>Peter Brearley Ltd</t>
  </si>
  <si>
    <t>Sanderson House, 22 Station Road</t>
  </si>
  <si>
    <t>Horsforth</t>
  </si>
  <si>
    <t>LS18 5NT</t>
  </si>
  <si>
    <t>donna@brearleylaw.com</t>
  </si>
  <si>
    <t>MRP CAPRON</t>
  </si>
  <si>
    <t>24 London Road</t>
  </si>
  <si>
    <t>RM17 5XY</t>
  </si>
  <si>
    <t>hmillane@mrpsolicitors.co.uk</t>
  </si>
  <si>
    <t>68 Orsett Road</t>
  </si>
  <si>
    <t>RM17 5EJ</t>
  </si>
  <si>
    <t>admin@mrpsolicitors.co.uk</t>
  </si>
  <si>
    <t>Ormrods Solicitors &amp; Advocates Ltd</t>
  </si>
  <si>
    <t>Thornton-Cleveleys</t>
  </si>
  <si>
    <t>FY5 3LU</t>
  </si>
  <si>
    <t>mike.penny@ormrods.co.uk</t>
  </si>
  <si>
    <t>1a Whitegate Drive</t>
  </si>
  <si>
    <t>FY3 9AE</t>
  </si>
  <si>
    <t>info@ormrods.co.uk</t>
  </si>
  <si>
    <t>Advantage Property Lawyers Limited</t>
  </si>
  <si>
    <t>Hurley House</t>
  </si>
  <si>
    <t>1 Dewsbury Road</t>
  </si>
  <si>
    <t>LS11 5DQ</t>
  </si>
  <si>
    <t>info@aplawyers.co.uk</t>
  </si>
  <si>
    <t>Gordons Solicitors Limited</t>
  </si>
  <si>
    <t>Winter Hill House, Marlow Reach, Station Approach</t>
  </si>
  <si>
    <t>SL7 1NT</t>
  </si>
  <si>
    <t>marks@gordons-law.co.uk</t>
  </si>
  <si>
    <t>Whitestone Solicitors Limited</t>
  </si>
  <si>
    <t>Whitestone House</t>
  </si>
  <si>
    <t>2 West Street</t>
  </si>
  <si>
    <t>OL16 2EN</t>
  </si>
  <si>
    <t>snoor@whitestonesolicitors.co.uk</t>
  </si>
  <si>
    <t>Russell &amp; Russell Solicitors LLP</t>
  </si>
  <si>
    <t>Atria, Spa Road</t>
  </si>
  <si>
    <t>BL1 4AG</t>
  </si>
  <si>
    <t>conveyancingwebsite@russellrussell.co.uk</t>
  </si>
  <si>
    <t>Belgrave Terrace, 10 Manchester Road</t>
  </si>
  <si>
    <t>BL9 0EB</t>
  </si>
  <si>
    <t>86 Market Street</t>
  </si>
  <si>
    <t>Farnworth</t>
  </si>
  <si>
    <t>BL4 7NY</t>
  </si>
  <si>
    <t>21 Lee Lane</t>
  </si>
  <si>
    <t>Horwich</t>
  </si>
  <si>
    <t>BL6 7BP</t>
  </si>
  <si>
    <t>Colmar House, Middleton Gardens</t>
  </si>
  <si>
    <t>Middleton</t>
  </si>
  <si>
    <t>M24 4DB</t>
  </si>
  <si>
    <t>9 White Friars</t>
  </si>
  <si>
    <t>39 Newport Street</t>
  </si>
  <si>
    <t>BL1 1NE</t>
  </si>
  <si>
    <t>C &amp; R Legal Limited</t>
  </si>
  <si>
    <t>62 Park Road</t>
  </si>
  <si>
    <t>Faringdon</t>
  </si>
  <si>
    <t>SN7 7BZ</t>
  </si>
  <si>
    <t>magdalena@candrlegal.co.uk</t>
  </si>
  <si>
    <t>Crowdy and Rose, High Street</t>
  </si>
  <si>
    <t>Lechlade</t>
  </si>
  <si>
    <t>GL7 3AE</t>
  </si>
  <si>
    <t>Spilsbury Law Limited</t>
  </si>
  <si>
    <t>27 Oxford Street</t>
  </si>
  <si>
    <t xml:space="preserve">Mountain Ash </t>
  </si>
  <si>
    <t>CF45 3PL</t>
  </si>
  <si>
    <t>stephen.samuel@gspilsbury.co.uk</t>
  </si>
  <si>
    <t>Renata Steggles Limited</t>
  </si>
  <si>
    <t>alpesh@rspropertylawyers.com</t>
  </si>
  <si>
    <t>45 High Street</t>
  </si>
  <si>
    <t>SG9 9AD</t>
  </si>
  <si>
    <t>buntingford@rspropertylawyers.com</t>
  </si>
  <si>
    <t>Morse Law Limited</t>
  </si>
  <si>
    <t>St Helens House</t>
  </si>
  <si>
    <t>156 St. Helens Road</t>
  </si>
  <si>
    <t>SA1 4DG</t>
  </si>
  <si>
    <t>lauramunday@johnmorse.co.uk</t>
  </si>
  <si>
    <t>Thorpe &amp; Co Ltd</t>
  </si>
  <si>
    <t>17 Valley Bridge Parade</t>
  </si>
  <si>
    <t>YO11 2JX</t>
  </si>
  <si>
    <t>sarah.squires@thorpeandco.com</t>
  </si>
  <si>
    <t>3 Bagdale</t>
  </si>
  <si>
    <t>YO21 1QL</t>
  </si>
  <si>
    <t>10-12 Belle Vue Street</t>
  </si>
  <si>
    <t>YO14 9HY</t>
  </si>
  <si>
    <t>Ola Leslie Solicitors LLP</t>
  </si>
  <si>
    <t>10 Whitehorse Mews</t>
  </si>
  <si>
    <t>37 Westminster Bridge Road</t>
  </si>
  <si>
    <t>SE1 7QD</t>
  </si>
  <si>
    <t>info@olaleslie.com</t>
  </si>
  <si>
    <t>Spratt Endicott Limited</t>
  </si>
  <si>
    <t>52/54 The Green</t>
  </si>
  <si>
    <t>Banbury</t>
  </si>
  <si>
    <t>OX16 9AB</t>
  </si>
  <si>
    <t>gstephenson@se-solicitors.co.uk</t>
  </si>
  <si>
    <t>46 Burgess Square</t>
  </si>
  <si>
    <t>Brackley</t>
  </si>
  <si>
    <t>NN13 7FA</t>
  </si>
  <si>
    <t>GStephenson@se-solicitors.co.uk</t>
  </si>
  <si>
    <t>The Old Courthouse, 5 Sheep Street</t>
  </si>
  <si>
    <t>Bicester</t>
  </si>
  <si>
    <t xml:space="preserve">Oxfordshire </t>
  </si>
  <si>
    <t>OX26 6JB</t>
  </si>
  <si>
    <t>stephenson@se-law.co.uk</t>
  </si>
  <si>
    <t>55 South Bar Street</t>
  </si>
  <si>
    <t xml:space="preserve">gstephenson@se-law.co.uk </t>
  </si>
  <si>
    <t>Hanney Dawkins &amp; Jones</t>
  </si>
  <si>
    <t>21 Bridge Street</t>
  </si>
  <si>
    <t>HA5 3HX</t>
  </si>
  <si>
    <t>elizabethr@hdj-law.co.uk</t>
  </si>
  <si>
    <t>V. E. White &amp; Co. Ltd</t>
  </si>
  <si>
    <t>10 Parkwood Green</t>
  </si>
  <si>
    <t>Gillingham</t>
  </si>
  <si>
    <t>ME8 9PN</t>
  </si>
  <si>
    <t>abdul@vewhitesolicitors.co.uk</t>
  </si>
  <si>
    <t>84 High Street</t>
  </si>
  <si>
    <t>Strood</t>
  </si>
  <si>
    <t>Rochester</t>
  </si>
  <si>
    <t>ME2 4AR</t>
  </si>
  <si>
    <t xml:space="preserve">SteveKocak@vewhitesolicitors.co.uk </t>
  </si>
  <si>
    <t>Langley Wellington LLP</t>
  </si>
  <si>
    <t>Royal House, 60 Bruton Way</t>
  </si>
  <si>
    <t>GL1 1EP</t>
  </si>
  <si>
    <t>lawyers@langleywellington.co.uk</t>
  </si>
  <si>
    <t>First Floor, 103 Promenade</t>
  </si>
  <si>
    <t>GL50 1NW</t>
  </si>
  <si>
    <t>cheltenham@langleywellington.co.uk</t>
  </si>
  <si>
    <t>Pengillys LLP</t>
  </si>
  <si>
    <t>67 St Thomas Street</t>
  </si>
  <si>
    <t>DT4 8HB</t>
  </si>
  <si>
    <t>mdr@pengillys.co.uk</t>
  </si>
  <si>
    <t>Challacombe House, Beechwood Square</t>
  </si>
  <si>
    <t>Poundbury</t>
  </si>
  <si>
    <t>DT1 3SS</t>
  </si>
  <si>
    <t>Shoosmiths LLP</t>
  </si>
  <si>
    <t>The Lakes</t>
  </si>
  <si>
    <t>NN4 7SH</t>
  </si>
  <si>
    <t>Mortgages@Swiitch.Law</t>
  </si>
  <si>
    <t>Forum 5, The Forum</t>
  </si>
  <si>
    <t>PO15 7PA</t>
  </si>
  <si>
    <t>mortgages@swiitch.law</t>
  </si>
  <si>
    <t>Platform, New Station Street</t>
  </si>
  <si>
    <t>LS1 4JB</t>
  </si>
  <si>
    <t>Sharpwell Property Law Ltd</t>
  </si>
  <si>
    <t>78 Pall Mall</t>
  </si>
  <si>
    <t>SW1Y 5ES</t>
  </si>
  <si>
    <t>info@sharpwell-law.com</t>
  </si>
  <si>
    <t>Dee &amp; Griffin</t>
  </si>
  <si>
    <t>Hucclecote Court, 76 Hucclecote Road</t>
  </si>
  <si>
    <t>Hucclecote</t>
  </si>
  <si>
    <t>GL3 3RU</t>
  </si>
  <si>
    <t>martinniblett@deeandgriffin.co.uk</t>
  </si>
  <si>
    <t>9a-9b School Lane</t>
  </si>
  <si>
    <t>GL2 4PJ</t>
  </si>
  <si>
    <t xml:space="preserve">Cheltenham Film Studios </t>
  </si>
  <si>
    <t xml:space="preserve">Hatherley Lane </t>
  </si>
  <si>
    <t>GL51 6PN</t>
  </si>
  <si>
    <t>Dursley</t>
  </si>
  <si>
    <t>Prospect House, 5 May Lane</t>
  </si>
  <si>
    <t>GL11 4JH</t>
  </si>
  <si>
    <t>info@deeandgriffin.co.uk</t>
  </si>
  <si>
    <t>Ground Floor, Norton House</t>
  </si>
  <si>
    <t>Whittington Hall Park</t>
  </si>
  <si>
    <t>WR5 2RA</t>
  </si>
  <si>
    <t>Manak Lawyers Limited</t>
  </si>
  <si>
    <t>42 Windmill Street</t>
  </si>
  <si>
    <t>Gravesend</t>
  </si>
  <si>
    <t>DA12 1BA</t>
  </si>
  <si>
    <t>sakerl@manaksolicitors.co.uk</t>
  </si>
  <si>
    <t>Orpington</t>
  </si>
  <si>
    <t>265 &amp; 271a High Street</t>
  </si>
  <si>
    <t>BR6 0NW</t>
  </si>
  <si>
    <t>46 London Road</t>
  </si>
  <si>
    <t>Biggin Hill</t>
  </si>
  <si>
    <t>190 Main Road</t>
  </si>
  <si>
    <t>TN16 3BB</t>
  </si>
  <si>
    <t>info@manaksolicitors.co.uk</t>
  </si>
  <si>
    <t>Dawson Hart Solicitors Limited</t>
  </si>
  <si>
    <t>TN22 1BH</t>
  </si>
  <si>
    <t>ajr@dawson-hart.co.uk</t>
  </si>
  <si>
    <t>DF Legal LLP</t>
  </si>
  <si>
    <t>15 New Street</t>
  </si>
  <si>
    <t>Ledbury</t>
  </si>
  <si>
    <t>HR8 2DX</t>
  </si>
  <si>
    <t>nthorpe@dflegal.com</t>
  </si>
  <si>
    <t>Avonside, 63 High Street</t>
  </si>
  <si>
    <t>GL20 5BJ</t>
  </si>
  <si>
    <t>Holloway House, Station Road</t>
  </si>
  <si>
    <t>GL5 3AP</t>
  </si>
  <si>
    <t>Newent</t>
  </si>
  <si>
    <t>22-24 Church Street</t>
  </si>
  <si>
    <t>GL18 1PP</t>
  </si>
  <si>
    <t>34 Brunswick Road</t>
  </si>
  <si>
    <t>GL1 1JW</t>
  </si>
  <si>
    <t>Mullis &amp; Peake LLP</t>
  </si>
  <si>
    <t xml:space="preserve">8-10 Eastern Road </t>
  </si>
  <si>
    <t xml:space="preserve">Romford </t>
  </si>
  <si>
    <t xml:space="preserve">Essex </t>
  </si>
  <si>
    <t>RM1 3PJ</t>
  </si>
  <si>
    <t>paulfursman@mplaw.co.uk</t>
  </si>
  <si>
    <t xml:space="preserve">194 Hutton Road, </t>
  </si>
  <si>
    <t xml:space="preserve">Shenfield, </t>
  </si>
  <si>
    <t xml:space="preserve">Essex, </t>
  </si>
  <si>
    <t>CM15 8NR</t>
  </si>
  <si>
    <t xml:space="preserve">HPLC Conveyancing Ltd </t>
  </si>
  <si>
    <t>1331 Melton Road</t>
  </si>
  <si>
    <t>Syston, Leicester</t>
  </si>
  <si>
    <t>LE7 2EP</t>
  </si>
  <si>
    <t>heather@hplcconveyancing.co.uk</t>
  </si>
  <si>
    <t>A Halsall &amp; Co</t>
  </si>
  <si>
    <t>41 Greasby Road</t>
  </si>
  <si>
    <t>Greasby</t>
  </si>
  <si>
    <t>CH49 3NF</t>
  </si>
  <si>
    <t>avm@halsalls.co.uk</t>
  </si>
  <si>
    <t>17 Brandon Street</t>
  </si>
  <si>
    <t>CH41 5HN</t>
  </si>
  <si>
    <t>23 Market Street</t>
  </si>
  <si>
    <t>Hoylake,</t>
  </si>
  <si>
    <t>CH47 2BG</t>
  </si>
  <si>
    <t>amf@halsalls.co.uk</t>
  </si>
  <si>
    <t>Thingwall</t>
  </si>
  <si>
    <t>507 Pensby Road</t>
  </si>
  <si>
    <t>CH61 7UQ</t>
  </si>
  <si>
    <t>amy@halsalls.co.uk</t>
  </si>
  <si>
    <t>Clarkes LLP</t>
  </si>
  <si>
    <t>Hazledine House</t>
  </si>
  <si>
    <t>Town Centre</t>
  </si>
  <si>
    <t>TF3 4JL</t>
  </si>
  <si>
    <t>carol.gunner@clarkeslaw.co.uk</t>
  </si>
  <si>
    <t>7 Landau Court, Tan Bank</t>
  </si>
  <si>
    <t>TF1 1HE</t>
  </si>
  <si>
    <t>wellington@clarkeslaw.co.uk</t>
  </si>
  <si>
    <t>21 High Street</t>
  </si>
  <si>
    <t>TF10 7AT</t>
  </si>
  <si>
    <t>newport@clarkeslaw.co.uk</t>
  </si>
  <si>
    <t>Kingston House, 6 St. Alkmonds Place</t>
  </si>
  <si>
    <t>SY1 1UL</t>
  </si>
  <si>
    <t>shrewsbury@clarkeslaw.co.uk</t>
  </si>
  <si>
    <t>13 Cheapside</t>
  </si>
  <si>
    <t>TF11 8BN</t>
  </si>
  <si>
    <t>shifnal@clarkeslaw.co.uk</t>
  </si>
  <si>
    <t>Laceys Solicitors LLP</t>
  </si>
  <si>
    <t>5 Poole Road</t>
  </si>
  <si>
    <t>BH2 5QL</t>
  </si>
  <si>
    <t>j.munro@laceyssolicitors.co.uk</t>
  </si>
  <si>
    <t>9 Poole Road</t>
  </si>
  <si>
    <t>BH2 5QR</t>
  </si>
  <si>
    <t>5pr@laceyssolicitors.co.uk</t>
  </si>
  <si>
    <t>Streathers Solicitors LLP</t>
  </si>
  <si>
    <t>9–11 Portland Place</t>
  </si>
  <si>
    <t>W1B 1PR</t>
  </si>
  <si>
    <t>Jdanaher@streathers.co.uk</t>
  </si>
  <si>
    <t>Newmans Solicitors Limited</t>
  </si>
  <si>
    <t>Horley</t>
  </si>
  <si>
    <t>RH6 7BE</t>
  </si>
  <si>
    <t>sbabar@ranewman.co.uk</t>
  </si>
  <si>
    <t>4 Church Street</t>
  </si>
  <si>
    <t>RH2 0AN</t>
  </si>
  <si>
    <t>reception@ranewman.co.uk</t>
  </si>
  <si>
    <t>Pigotts</t>
  </si>
  <si>
    <t>10 Victoria Crescent</t>
  </si>
  <si>
    <t>CT16 1DU</t>
  </si>
  <si>
    <t>sharon@pigotts.co.uk</t>
  </si>
  <si>
    <t>Kenneth Curtis &amp; Co LLP</t>
  </si>
  <si>
    <t>88 Aldridge Road</t>
  </si>
  <si>
    <t>Perry Barr</t>
  </si>
  <si>
    <t>B42 2TP</t>
  </si>
  <si>
    <t>info@kennethcurtis.co.uk</t>
  </si>
  <si>
    <t>Redditch</t>
  </si>
  <si>
    <t>3 Alcester Street</t>
  </si>
  <si>
    <t>B98 8AE</t>
  </si>
  <si>
    <t>dmw@kcurtis-redditch.co.uk</t>
  </si>
  <si>
    <t>Harrisons Thames Valley Solicitors LLP</t>
  </si>
  <si>
    <t>7 Castle Street</t>
  </si>
  <si>
    <t>RG1 7SB</t>
  </si>
  <si>
    <t>ashley.harrison@harrisonssolicitors.com</t>
  </si>
  <si>
    <t>72 Headley Road</t>
  </si>
  <si>
    <t>Woodley</t>
  </si>
  <si>
    <t>RG5 4JE</t>
  </si>
  <si>
    <t>1 Prospect Street</t>
  </si>
  <si>
    <t>Caversham</t>
  </si>
  <si>
    <t>RG4 8JB</t>
  </si>
  <si>
    <t>Curzon Green</t>
  </si>
  <si>
    <t>114-116 Oxford Road</t>
  </si>
  <si>
    <t>High Wycombe</t>
  </si>
  <si>
    <t>HP11 2DN</t>
  </si>
  <si>
    <t>julia@curzongreen.co.uk</t>
  </si>
  <si>
    <t>10 Philpot Lane</t>
  </si>
  <si>
    <t>EC3M 8AA</t>
  </si>
  <si>
    <t xml:space="preserve">enquiries@curzongreen.co.uk </t>
  </si>
  <si>
    <t>Metcalfe Copeman &amp; Pettefar LLP</t>
  </si>
  <si>
    <t>28/32 King Street</t>
  </si>
  <si>
    <t>King's Lynn</t>
  </si>
  <si>
    <t>PE30 1HQ</t>
  </si>
  <si>
    <t>claire.james@mcp-law.co.uk</t>
  </si>
  <si>
    <t>Cage Lane</t>
  </si>
  <si>
    <t>Thetford</t>
  </si>
  <si>
    <t>IP24 2DT</t>
  </si>
  <si>
    <t>Camrascan House, Isis Way</t>
  </si>
  <si>
    <t>Minerva Business Park</t>
  </si>
  <si>
    <t>The Boat House Business Centre, 1 Harbour Square</t>
  </si>
  <si>
    <t xml:space="preserve">Wisbech </t>
  </si>
  <si>
    <t>PE13 3BH</t>
  </si>
  <si>
    <t>info@mcp-law.co.uk</t>
  </si>
  <si>
    <t>2 Three Cups Walk</t>
  </si>
  <si>
    <t>Forehill</t>
  </si>
  <si>
    <t>Cambs</t>
  </si>
  <si>
    <t>CB7 4AN</t>
  </si>
  <si>
    <t>Ronald Fletcher Baker LLP</t>
  </si>
  <si>
    <t>New Derwent House</t>
  </si>
  <si>
    <t>69-73 Theobalds Road</t>
  </si>
  <si>
    <t>WC1X 8TA</t>
  </si>
  <si>
    <t>b.erdogan@rfblegal.co.uk</t>
  </si>
  <si>
    <t>111 Piccadilly</t>
  </si>
  <si>
    <t>M1 2HY</t>
  </si>
  <si>
    <t>s.eaton@rfblegal.co.uk</t>
  </si>
  <si>
    <t>Ground Floor, Sterling Court</t>
  </si>
  <si>
    <t>16-18 Dix's Field</t>
  </si>
  <si>
    <t>EX1 1QA</t>
  </si>
  <si>
    <t>H.Coombe@rfblegal.co.uk</t>
  </si>
  <si>
    <t>5 The Green</t>
  </si>
  <si>
    <t xml:space="preserve">TW9 1PL </t>
  </si>
  <si>
    <t>m.thomas@rfblegal.co.uk</t>
  </si>
  <si>
    <t>Cook Taylor Woodhouse Limited</t>
  </si>
  <si>
    <t>68/70 High Street</t>
  </si>
  <si>
    <t>Eltham</t>
  </si>
  <si>
    <t>SE9 1BZ</t>
  </si>
  <si>
    <t>swarren@ctwsolicitors.co.uk</t>
  </si>
  <si>
    <t>First Floor St Johns House</t>
  </si>
  <si>
    <t>37-41 Spital Street</t>
  </si>
  <si>
    <t>Dartford</t>
  </si>
  <si>
    <t>DA1 2DR</t>
  </si>
  <si>
    <t>1st Floor, Warneford House,</t>
  </si>
  <si>
    <t>St Leonards Road,</t>
  </si>
  <si>
    <t>Allington, Maidstone</t>
  </si>
  <si>
    <t xml:space="preserve">Kent </t>
  </si>
  <si>
    <t>ME16 0LS</t>
  </si>
  <si>
    <t>Windeatts Solicitors LLP</t>
  </si>
  <si>
    <t>58-60 Fore Street</t>
  </si>
  <si>
    <t>TQ9 5RU</t>
  </si>
  <si>
    <t>enquiry@windeatts.co.uk</t>
  </si>
  <si>
    <t>65-67 Fore Street</t>
  </si>
  <si>
    <t>TQ7 1PG</t>
  </si>
  <si>
    <t>fiona.hughes@windeatts.co.uk</t>
  </si>
  <si>
    <t>Finn Gledhill</t>
  </si>
  <si>
    <t>1-3 Harrison Road</t>
  </si>
  <si>
    <t>HX1 2AG</t>
  </si>
  <si>
    <t>marc@finngledhill.co.uk</t>
  </si>
  <si>
    <t>29 West End</t>
  </si>
  <si>
    <t>Hebden Bridge</t>
  </si>
  <si>
    <t>HX7 8UQ</t>
  </si>
  <si>
    <t>Cowlishaw and Mountford</t>
  </si>
  <si>
    <t>90 High Street</t>
  </si>
  <si>
    <t>davidhopkins@cowlishawandmountford.co.uk</t>
  </si>
  <si>
    <t>Joseph A Jones &amp; Co LLP</t>
  </si>
  <si>
    <t>6 Fenton Street</t>
  </si>
  <si>
    <t>LA1 1TE</t>
  </si>
  <si>
    <t>olivia.egdell-page@jajsolicitors.co.uk</t>
  </si>
  <si>
    <t>Vale Solicitors Ltd</t>
  </si>
  <si>
    <t>CF62 7DS</t>
  </si>
  <si>
    <t>jon@valesolicitors.com</t>
  </si>
  <si>
    <t>1 Boverton Road</t>
  </si>
  <si>
    <t>Llantwit Major</t>
  </si>
  <si>
    <t>CF61 1XZ</t>
  </si>
  <si>
    <t>michael@valesolicitors.com</t>
  </si>
  <si>
    <t>Darby &amp; Darby</t>
  </si>
  <si>
    <t>Tudor Chambers, Fore Street</t>
  </si>
  <si>
    <t>St Marychurch</t>
  </si>
  <si>
    <t xml:space="preserve">Torquay </t>
  </si>
  <si>
    <t>TQ1 4PR</t>
  </si>
  <si>
    <t>jonathan@darbylaw.co.uk</t>
  </si>
  <si>
    <t>Brixham</t>
  </si>
  <si>
    <t>38 Fore Street</t>
  </si>
  <si>
    <t>TQ5 8DZ</t>
  </si>
  <si>
    <t>john@darbylaw.co.uk</t>
  </si>
  <si>
    <t>Dartmouth</t>
  </si>
  <si>
    <t>4-5 Hauley Road</t>
  </si>
  <si>
    <t>TQ6 9AA</t>
  </si>
  <si>
    <t>Harris Cuffaro &amp; Nichols</t>
  </si>
  <si>
    <t>Lion Court, 8-10 Market Street</t>
  </si>
  <si>
    <t>Old Harlow</t>
  </si>
  <si>
    <t>CM17 0AH</t>
  </si>
  <si>
    <t>emarchant@hcnlaw.co.uk</t>
  </si>
  <si>
    <t>Nockolds Solicitors Limited</t>
  </si>
  <si>
    <t>Bishops Stortford</t>
  </si>
  <si>
    <t>CM23 3UZ</t>
  </si>
  <si>
    <t>kchui@nockolds.co.uk</t>
  </si>
  <si>
    <t>35 Great St. Helen's</t>
  </si>
  <si>
    <t>EC3A 6AP</t>
  </si>
  <si>
    <t>enquiries@nockolds.co.uk</t>
  </si>
  <si>
    <t>Neves Limited</t>
  </si>
  <si>
    <t>Tollgate House, 69-71 High Street</t>
  </si>
  <si>
    <t>AL5 2SL</t>
  </si>
  <si>
    <t>info@neves.co.uk</t>
  </si>
  <si>
    <t>Aw House, 6-8 Stuart Street</t>
  </si>
  <si>
    <t>LU1 2SJ</t>
  </si>
  <si>
    <t>Aurora House, Deltic Avenue</t>
  </si>
  <si>
    <t>Rooksley</t>
  </si>
  <si>
    <t>MK13 8LD</t>
  </si>
  <si>
    <t>Starck Uberoi Solicitors Limited</t>
  </si>
  <si>
    <t>45 St Mary's Road</t>
  </si>
  <si>
    <t>W5 5RG</t>
  </si>
  <si>
    <t>uberoi@starckuberoi.co.uk</t>
  </si>
  <si>
    <t>Brentford</t>
  </si>
  <si>
    <t>Dock House, 79 High Street</t>
  </si>
  <si>
    <t>TW8 8AE</t>
  </si>
  <si>
    <t>8 The Precincts</t>
  </si>
  <si>
    <t>Canterbury Cathedral</t>
  </si>
  <si>
    <t>CT1 2EE</t>
  </si>
  <si>
    <t xml:space="preserve">solicitor@starckuberoi.co.uk </t>
  </si>
  <si>
    <t>Legend Solicitors Limited</t>
  </si>
  <si>
    <t>Imperial Offices, 2 Heigham Road</t>
  </si>
  <si>
    <t>rcp@legendsolicitors.org</t>
  </si>
  <si>
    <t>Walters &amp; Barbary LLP</t>
  </si>
  <si>
    <t>Basset Chambers</t>
  </si>
  <si>
    <t>18 Basset Road</t>
  </si>
  <si>
    <t>TR14 8SG</t>
  </si>
  <si>
    <t>janieb@waltersbarbary.co.uk</t>
  </si>
  <si>
    <t>Holt and Longworth</t>
  </si>
  <si>
    <t>65 Bank Street</t>
  </si>
  <si>
    <t>jlt@holtandlongworth.co.uk</t>
  </si>
  <si>
    <t>Flint Bishop Limited</t>
  </si>
  <si>
    <t>Pinnacle Building, 2 Prospect Place</t>
  </si>
  <si>
    <t>Pride Park</t>
  </si>
  <si>
    <t>Derby</t>
  </si>
  <si>
    <t>DE24 8HG</t>
  </si>
  <si>
    <t>sukhy.kandola@flintbishop.co.uk</t>
  </si>
  <si>
    <t>1st Floor, 2 The Embankment, Sovereign Street</t>
  </si>
  <si>
    <t>LS1 4BA</t>
  </si>
  <si>
    <t>38 Carver Street</t>
  </si>
  <si>
    <t>S1 4FS</t>
  </si>
  <si>
    <t>1st Floor, Stamford House</t>
  </si>
  <si>
    <t>Piccadilly</t>
  </si>
  <si>
    <t>YO1 9PP</t>
  </si>
  <si>
    <t>Links Legal Limited</t>
  </si>
  <si>
    <t>42 Redbridge Lane East</t>
  </si>
  <si>
    <t>Ilford</t>
  </si>
  <si>
    <t>IG4 5EX</t>
  </si>
  <si>
    <t>info@linkslegal.co.uk</t>
  </si>
  <si>
    <t>99 Bishopsgate</t>
  </si>
  <si>
    <t>EC2M 3XD</t>
  </si>
  <si>
    <t xml:space="preserve">info@linkslegal.co.uk </t>
  </si>
  <si>
    <t>Robert Bingham Limited</t>
  </si>
  <si>
    <t>26-28 Liscard Crescent</t>
  </si>
  <si>
    <t>Wallasey</t>
  </si>
  <si>
    <t>CH44 1AE</t>
  </si>
  <si>
    <t>gareth@binghamlong.co.uk</t>
  </si>
  <si>
    <t>68 Whetstone Lane</t>
  </si>
  <si>
    <t>CH41 2TF</t>
  </si>
  <si>
    <t xml:space="preserve">Kitching Walker </t>
  </si>
  <si>
    <t>8 Market Place</t>
  </si>
  <si>
    <t>Kirkbymoorside</t>
  </si>
  <si>
    <t>YO62 6DD</t>
  </si>
  <si>
    <t>post@kitchingwalker.co.uk</t>
  </si>
  <si>
    <t>Ives &amp; Co Solicitors Limited</t>
  </si>
  <si>
    <t>The Forge, Main Road</t>
  </si>
  <si>
    <t>Plumtree</t>
  </si>
  <si>
    <t>NG12 5NB</t>
  </si>
  <si>
    <t>ruth@ivesandco.com</t>
  </si>
  <si>
    <t>Ruddington</t>
  </si>
  <si>
    <t>NG11 6EH</t>
  </si>
  <si>
    <t>Ruth@ivesandco.com</t>
  </si>
  <si>
    <t>15 Station Road</t>
  </si>
  <si>
    <t>ME8 7RS</t>
  </si>
  <si>
    <t>laura@ivesandco.com</t>
  </si>
  <si>
    <t>Keyworth</t>
  </si>
  <si>
    <t>10 The Square</t>
  </si>
  <si>
    <t>NG12 5JT</t>
  </si>
  <si>
    <t>Luttons Dunford</t>
  </si>
  <si>
    <t>49 Brunswick Road</t>
  </si>
  <si>
    <t>GL1 1JS</t>
  </si>
  <si>
    <t>info@luttonsdunford.co.uk</t>
  </si>
  <si>
    <t>Field Seymour Parkes LLP</t>
  </si>
  <si>
    <t>1 London Street</t>
  </si>
  <si>
    <t>RG1 4PN</t>
  </si>
  <si>
    <t>kate.parry-jones@fsp-law.com</t>
  </si>
  <si>
    <t>Greene &amp; Greene</t>
  </si>
  <si>
    <t>80 Guildhall Street</t>
  </si>
  <si>
    <t>Bury St. Edmunds</t>
  </si>
  <si>
    <t xml:space="preserve">Suffolk </t>
  </si>
  <si>
    <t>IP33 1QB</t>
  </si>
  <si>
    <t>jonathanmathers@greene-greene.com</t>
  </si>
  <si>
    <t>Whatley Recordon</t>
  </si>
  <si>
    <t>12 Worcester Road</t>
  </si>
  <si>
    <t>Malvern</t>
  </si>
  <si>
    <t>WR14 4QU</t>
  </si>
  <si>
    <t>jmorton@wrsolicitors.com</t>
  </si>
  <si>
    <t>Arnison &amp; Company Solicitors Limited</t>
  </si>
  <si>
    <t>1 St. Andrews Place</t>
  </si>
  <si>
    <t>CA11 7AW</t>
  </si>
  <si>
    <t>kc@arnisonheelis.co.uk</t>
  </si>
  <si>
    <t>7 Boroughgate</t>
  </si>
  <si>
    <t>Appleby-in-Westmorland</t>
  </si>
  <si>
    <t>CA16 6XF</t>
  </si>
  <si>
    <t>law@arnisonheelis.co.uk</t>
  </si>
  <si>
    <t>Guthrie Jones Jones LLP</t>
  </si>
  <si>
    <t>5 Plassey Street</t>
  </si>
  <si>
    <t>Bala</t>
  </si>
  <si>
    <t>LL23 7SW</t>
  </si>
  <si>
    <t>bala@guthriejj.co.uk</t>
  </si>
  <si>
    <t>29 Ruthin Road</t>
  </si>
  <si>
    <t>LL16 3EH</t>
  </si>
  <si>
    <t>dinbych@guthriejj.co.uk</t>
  </si>
  <si>
    <t>Waterloo Chambers, Bridge Street</t>
  </si>
  <si>
    <t>LL40 1AU</t>
  </si>
  <si>
    <t xml:space="preserve">dolgellau@guthriejj.co.uk </t>
  </si>
  <si>
    <t>Bromets Jackson Heath LLP</t>
  </si>
  <si>
    <t>Kirkgate House</t>
  </si>
  <si>
    <t>Kirkgate</t>
  </si>
  <si>
    <t>Tadcaster</t>
  </si>
  <si>
    <t>LS24 9AD</t>
  </si>
  <si>
    <t>richard.scott@bjhsolicitors.co.uk</t>
  </si>
  <si>
    <t>Thrings LLP</t>
  </si>
  <si>
    <t>6 Drakes Meadow</t>
  </si>
  <si>
    <t>SN3 3LL</t>
  </si>
  <si>
    <t>kbates@thrings.com</t>
  </si>
  <si>
    <t>The Paragon</t>
  </si>
  <si>
    <t>Counterslip</t>
  </si>
  <si>
    <t>BS1 6BX</t>
  </si>
  <si>
    <t>solicitors@thrings.com</t>
  </si>
  <si>
    <t>2 Queen Square</t>
  </si>
  <si>
    <t>BA1 2HQ</t>
  </si>
  <si>
    <t>Chancery House, Chancery Lane</t>
  </si>
  <si>
    <t>Stuart Court, Salisbury Road</t>
  </si>
  <si>
    <t>SO51 6DJ</t>
  </si>
  <si>
    <t>mcharter@thrings.com</t>
  </si>
  <si>
    <t>Church Row</t>
  </si>
  <si>
    <t>HR9 5HR</t>
  </si>
  <si>
    <t>Oakfield</t>
  </si>
  <si>
    <t>Hill Street</t>
  </si>
  <si>
    <t>GL15 5HE</t>
  </si>
  <si>
    <t>Sleigh Son &amp; Booth</t>
  </si>
  <si>
    <t>1 Ashton Road</t>
  </si>
  <si>
    <t>Droylsden</t>
  </si>
  <si>
    <t>M43 7AB</t>
  </si>
  <si>
    <t>simon@sleighandson.com</t>
  </si>
  <si>
    <t>1 Market Street</t>
  </si>
  <si>
    <t>Denton</t>
  </si>
  <si>
    <t>M34 2BN</t>
  </si>
  <si>
    <t>denton@sleighandson.com</t>
  </si>
  <si>
    <t>105 Market Street</t>
  </si>
  <si>
    <t>Hyde</t>
  </si>
  <si>
    <t>SK14 1HL</t>
  </si>
  <si>
    <t>joanne@boothinceandknowles.com</t>
  </si>
  <si>
    <t>Hetts</t>
  </si>
  <si>
    <t>11 Wells Street</t>
  </si>
  <si>
    <t>South Humberside</t>
  </si>
  <si>
    <t>DN15 6HW</t>
  </si>
  <si>
    <t>mconnell@hetts.co.uk</t>
  </si>
  <si>
    <t>Bright &amp; Sons (Solicitors) Limited</t>
  </si>
  <si>
    <t>West House, West Square</t>
  </si>
  <si>
    <t>Maldon</t>
  </si>
  <si>
    <t>CM9 6HA</t>
  </si>
  <si>
    <t>lisa.henderson@brightslaw.com</t>
  </si>
  <si>
    <t>87-91 Newland Street</t>
  </si>
  <si>
    <t>Witham</t>
  </si>
  <si>
    <t>CM8 1AD</t>
  </si>
  <si>
    <t>Lime House, 75 Church Road</t>
  </si>
  <si>
    <t>Tiptree</t>
  </si>
  <si>
    <t>Colchester</t>
  </si>
  <si>
    <t>CO5 0HB</t>
  </si>
  <si>
    <t>92 Main Road</t>
  </si>
  <si>
    <t>Danbury</t>
  </si>
  <si>
    <t>CM3 4DH</t>
  </si>
  <si>
    <t>Maitland Walker LLP</t>
  </si>
  <si>
    <t>22 The Parks</t>
  </si>
  <si>
    <t>TA24 8BT</t>
  </si>
  <si>
    <t>ben.slade@maitlandwalker.com</t>
  </si>
  <si>
    <t>17 The Crescent</t>
  </si>
  <si>
    <t>TA1 4EB</t>
  </si>
  <si>
    <t>Braddon &amp; Snow Limited</t>
  </si>
  <si>
    <t>Montagu House</t>
  </si>
  <si>
    <t>Hoddesdon</t>
  </si>
  <si>
    <t>EN11 8HA</t>
  </si>
  <si>
    <t>info@braddonsnow.co.uk</t>
  </si>
  <si>
    <t>Broxbourne</t>
  </si>
  <si>
    <t>1-2 North Park House, The Precinct</t>
  </si>
  <si>
    <t>High Road</t>
  </si>
  <si>
    <t>EN10 7HY</t>
  </si>
  <si>
    <t>mail@braddonsnow.co.uk</t>
  </si>
  <si>
    <t>Girlings Solicitors LLP</t>
  </si>
  <si>
    <t>16 Rose Lane</t>
  </si>
  <si>
    <t>CT1 2UR</t>
  </si>
  <si>
    <t>nikkicoyne@girlings.com</t>
  </si>
  <si>
    <t>Stourside Place, Station Road</t>
  </si>
  <si>
    <t>Ashford</t>
  </si>
  <si>
    <t>TN23 1PP</t>
  </si>
  <si>
    <t>45 William Street</t>
  </si>
  <si>
    <t>Herne Bay</t>
  </si>
  <si>
    <t>CT6 5NR</t>
  </si>
  <si>
    <t>Smiths (Solicitors) LLP</t>
  </si>
  <si>
    <t>Burton on Trent</t>
  </si>
  <si>
    <t>DE14 1JP</t>
  </si>
  <si>
    <t>sarah.mccarthy@smithpartnership.co.uk</t>
  </si>
  <si>
    <t>Norman House</t>
  </si>
  <si>
    <t>Friargate</t>
  </si>
  <si>
    <t>DE1 1NU</t>
  </si>
  <si>
    <t>Sarah.McCarthy@smithpartnership.co.uk</t>
  </si>
  <si>
    <t>Charnwood Court</t>
  </si>
  <si>
    <t>5b New Walk</t>
  </si>
  <si>
    <t>LE1 6TE</t>
  </si>
  <si>
    <t>Swadlincote</t>
  </si>
  <si>
    <t>22 High Street</t>
  </si>
  <si>
    <t>DE11 8HY</t>
  </si>
  <si>
    <t>Stoke-on-Trent</t>
  </si>
  <si>
    <t xml:space="preserve">Alexander House </t>
  </si>
  <si>
    <t>Bethesda Street</t>
  </si>
  <si>
    <t>Hanley</t>
  </si>
  <si>
    <t>ST1 3GN</t>
  </si>
  <si>
    <t>info@smithpartnership.co.uk</t>
  </si>
  <si>
    <t>Thornton Jones Solicitors Ltd</t>
  </si>
  <si>
    <t>Bank House, 1 Burton Street</t>
  </si>
  <si>
    <t>WF1 2GF</t>
  </si>
  <si>
    <t>conveyancingadmin@thorntonjones.co.uk</t>
  </si>
  <si>
    <t>Ossett</t>
  </si>
  <si>
    <t>25 Bank Street</t>
  </si>
  <si>
    <t>WF5 8PS</t>
  </si>
  <si>
    <t>Garforth</t>
  </si>
  <si>
    <t>Westbourne House, 99 Lidgett Lane</t>
  </si>
  <si>
    <t>LS25 1LJ</t>
  </si>
  <si>
    <t>Sherburn-In-Elmet</t>
  </si>
  <si>
    <t>6 Finkle Hill</t>
  </si>
  <si>
    <t>LS25 6EA</t>
  </si>
  <si>
    <t>Gaby Hardwicke</t>
  </si>
  <si>
    <t>33 The Avenue</t>
  </si>
  <si>
    <t>BN21 3YD</t>
  </si>
  <si>
    <t>Melanie.Verth@gabyhardwicke.co.uk</t>
  </si>
  <si>
    <t>34 Wellington Square</t>
  </si>
  <si>
    <t>TN34 1PN</t>
  </si>
  <si>
    <t>2 Eversley Road</t>
  </si>
  <si>
    <t>TN40 1EY</t>
  </si>
  <si>
    <t>PDA Law Solicitors Limited</t>
  </si>
  <si>
    <t>Crown Buildings, 121a Saughall Road</t>
  </si>
  <si>
    <t>Blacon</t>
  </si>
  <si>
    <t>CH1 5ET</t>
  </si>
  <si>
    <t>enquiries@pdalaw.co.uk</t>
  </si>
  <si>
    <t>Bury and Walkers LLP</t>
  </si>
  <si>
    <t>Britannic House, Regent Street</t>
  </si>
  <si>
    <t xml:space="preserve">South Yorkshire </t>
  </si>
  <si>
    <t>S70 2EQ</t>
  </si>
  <si>
    <t>d.mayne@burywalkers.com</t>
  </si>
  <si>
    <t>Watford House, Church Street</t>
  </si>
  <si>
    <t>Wombwell</t>
  </si>
  <si>
    <t>S73 0DG</t>
  </si>
  <si>
    <t>4 Butts Court</t>
  </si>
  <si>
    <t>LS1 5JS</t>
  </si>
  <si>
    <t>e.tottie@burywalkers.com</t>
  </si>
  <si>
    <t>MJP Conveyancing Limited</t>
  </si>
  <si>
    <t>69/75 Thorpe Road</t>
  </si>
  <si>
    <t>NR1 1UA</t>
  </si>
  <si>
    <t>caitlin.jolly@mjpconveyancing.com</t>
  </si>
  <si>
    <t>Riley Langdon Solicitors</t>
  </si>
  <si>
    <t>Suite 4 City West Business Park, St. Johns Road</t>
  </si>
  <si>
    <t>Meadowfield</t>
  </si>
  <si>
    <t>DH7 8ER</t>
  </si>
  <si>
    <t>marie@rileylangdon.co.uk</t>
  </si>
  <si>
    <t>Christopher Bean Solicitors</t>
  </si>
  <si>
    <t>11 Wellington Square</t>
  </si>
  <si>
    <t>TN34 1PB</t>
  </si>
  <si>
    <t>info@christopher-bean.co.uk</t>
  </si>
  <si>
    <t>Cortlandt, 18 George Street</t>
  </si>
  <si>
    <t>BN27 1AE</t>
  </si>
  <si>
    <t>Streathers Highgate LLP</t>
  </si>
  <si>
    <t>1 Crouch End Hill</t>
  </si>
  <si>
    <t>N8 8DH</t>
  </si>
  <si>
    <t>cshear@streathers.co.uk</t>
  </si>
  <si>
    <t>1 Heath Street</t>
  </si>
  <si>
    <t>Hampstead</t>
  </si>
  <si>
    <t>NW3 6TP</t>
  </si>
  <si>
    <t>18 Highgate High Street</t>
  </si>
  <si>
    <t>Highgate</t>
  </si>
  <si>
    <t>N6 5JG</t>
  </si>
  <si>
    <t>80 Islington High Street</t>
  </si>
  <si>
    <t>N1 8EQ</t>
  </si>
  <si>
    <t>England &amp; Co</t>
  </si>
  <si>
    <t>7-8 South Quay</t>
  </si>
  <si>
    <t>NR30 2QN</t>
  </si>
  <si>
    <t>vhurren@englandandco.co.uk</t>
  </si>
  <si>
    <t>137 Bells Road</t>
  </si>
  <si>
    <t>NR31 6AG</t>
  </si>
  <si>
    <t>landerson@englandandco.co.uk</t>
  </si>
  <si>
    <t>Prospect House, The Green</t>
  </si>
  <si>
    <t>Martham</t>
  </si>
  <si>
    <t>NR29 4PA</t>
  </si>
  <si>
    <t>csmyth@englandandco.co.uk</t>
  </si>
  <si>
    <t>MKB Solicitors LLP</t>
  </si>
  <si>
    <t>1-11 Huddersfield Road</t>
  </si>
  <si>
    <t>S70 2LP</t>
  </si>
  <si>
    <t>saudin@mkbsolicitors.co.uk</t>
  </si>
  <si>
    <t>Enact Conveyancing Limited</t>
  </si>
  <si>
    <t>Cardinal House, 9 Manor Road</t>
  </si>
  <si>
    <t>LS11 9AH</t>
  </si>
  <si>
    <t>craig.dobson@enact.co.uk</t>
  </si>
  <si>
    <t>Evans Powell &amp; Co</t>
  </si>
  <si>
    <t>17 Murray Street</t>
  </si>
  <si>
    <t>Llanelli</t>
  </si>
  <si>
    <t>SA15 1AQ</t>
  </si>
  <si>
    <t>laura.edmunds@evanspowell.co.uk</t>
  </si>
  <si>
    <t>TP Legal Ltd</t>
  </si>
  <si>
    <t xml:space="preserve">Crown House, Third Floor, </t>
  </si>
  <si>
    <t>One Crown Square</t>
  </si>
  <si>
    <t>Woking</t>
  </si>
  <si>
    <t>GU21 6HR</t>
  </si>
  <si>
    <t>ah@hutchinslaw.co.uk</t>
  </si>
  <si>
    <t>16 Prescot Street</t>
  </si>
  <si>
    <t>E1 8AZ</t>
  </si>
  <si>
    <t>Nicholsons Solicitors LLP</t>
  </si>
  <si>
    <t>2 Quay View Business Park,</t>
  </si>
  <si>
    <t>abushell@nicholsonslaw.com</t>
  </si>
  <si>
    <t>Rouen Road</t>
  </si>
  <si>
    <t>NR1 1RE</t>
  </si>
  <si>
    <t>Hunt &amp; Coombs LLP</t>
  </si>
  <si>
    <t>Westpoint, Lynch Wood</t>
  </si>
  <si>
    <t>PE2 6FZ</t>
  </si>
  <si>
    <t>andrea.whiston@hcsolicitors.co.uk</t>
  </si>
  <si>
    <t>Huntingdon</t>
  </si>
  <si>
    <t>Acre House, 70C High Street</t>
  </si>
  <si>
    <t>PE29 3DJ</t>
  </si>
  <si>
    <t>Oundle</t>
  </si>
  <si>
    <t>4 New Street</t>
  </si>
  <si>
    <t>PE8 4ED</t>
  </si>
  <si>
    <t>Spector Constant &amp; Williams Limited</t>
  </si>
  <si>
    <t>4th Floor, 75 Wells Street</t>
  </si>
  <si>
    <t>W1T 3QH</t>
  </si>
  <si>
    <t>Richard.spector@scwlegal.co.uk</t>
  </si>
  <si>
    <t>Decimus Fearon LLP</t>
  </si>
  <si>
    <t>14-15 Lower Grosvenor Place</t>
  </si>
  <si>
    <t>SW1W 0EX</t>
  </si>
  <si>
    <t>ajp@decimusfearon.com</t>
  </si>
  <si>
    <t>Sintons LLP</t>
  </si>
  <si>
    <t>The Cube, Barrack Road</t>
  </si>
  <si>
    <t>NE4 6DB</t>
  </si>
  <si>
    <t>anna.barton@sintons.co.uk</t>
  </si>
  <si>
    <t>Norton Peskett</t>
  </si>
  <si>
    <t>148 London Road North</t>
  </si>
  <si>
    <t>NR32 1HF</t>
  </si>
  <si>
    <t>p-gregory@nortonpeskett.co.uk</t>
  </si>
  <si>
    <t>Exchange Square</t>
  </si>
  <si>
    <t>NR34 9HP</t>
  </si>
  <si>
    <t>Old Bank House, 66a Bells Road</t>
  </si>
  <si>
    <t>NR31 6AF</t>
  </si>
  <si>
    <t>52 Thoroughfare</t>
  </si>
  <si>
    <t>Halesworth</t>
  </si>
  <si>
    <t>IP19 8AR</t>
  </si>
  <si>
    <t>18 Church Plain</t>
  </si>
  <si>
    <t>NR30 1NF</t>
  </si>
  <si>
    <t>Tollers LLP</t>
  </si>
  <si>
    <t>1 Waterside Way</t>
  </si>
  <si>
    <t>NN4 7XD</t>
  </si>
  <si>
    <t>Mandy.Stark@tollers.co.uk</t>
  </si>
  <si>
    <t>Corby</t>
  </si>
  <si>
    <t>2 Exchange Court, Cottingham Road</t>
  </si>
  <si>
    <t>NN17 1TY</t>
  </si>
  <si>
    <t>enquiries@tollers.co.uk</t>
  </si>
  <si>
    <t>4 Mill Street</t>
  </si>
  <si>
    <t>Oakham</t>
  </si>
  <si>
    <t>Rutland</t>
  </si>
  <si>
    <t>LE15 6EA</t>
  </si>
  <si>
    <t>6 Arlington Court, Whittle Way</t>
  </si>
  <si>
    <t>Arlington Business Park</t>
  </si>
  <si>
    <t>SG1 2FS</t>
  </si>
  <si>
    <t>Bryan &amp; Armstrong</t>
  </si>
  <si>
    <t>The New Meeting House, Station Street</t>
  </si>
  <si>
    <t>NG18 1EF</t>
  </si>
  <si>
    <t>catherine.walker@bryanandarmstrong.co.uk</t>
  </si>
  <si>
    <t>Judge Sykes Frixou Ltd</t>
  </si>
  <si>
    <t>Queen's House</t>
  </si>
  <si>
    <t xml:space="preserve">55-56 Lincoln's Inn Field </t>
  </si>
  <si>
    <t>WC2A 3LJ</t>
  </si>
  <si>
    <t>kmcdonagh@jsf-law.co.uk</t>
  </si>
  <si>
    <t>1 St. Margarets Street</t>
  </si>
  <si>
    <t>CT1 2TT</t>
  </si>
  <si>
    <t>tcoward@jsf-law.co.uk</t>
  </si>
  <si>
    <t>Stephen Rimmer LLP</t>
  </si>
  <si>
    <t>28-30 Hyde Gardens</t>
  </si>
  <si>
    <t>BN21 4PX</t>
  </si>
  <si>
    <t>enquiries@stephenrimmer.com</t>
  </si>
  <si>
    <t>46-48 Parkhurst Road</t>
  </si>
  <si>
    <t>TN40 1DE</t>
  </si>
  <si>
    <t>Stephensons Solicitors LLP</t>
  </si>
  <si>
    <t>Wigan Investment Centre</t>
  </si>
  <si>
    <t>Waterside Drive</t>
  </si>
  <si>
    <t>WN3 5BA</t>
  </si>
  <si>
    <t>referralteam@stephensons.co.uk</t>
  </si>
  <si>
    <t>29 Throgmorton Street</t>
  </si>
  <si>
    <t>EC2N 2AT</t>
  </si>
  <si>
    <t>Trinity Way</t>
  </si>
  <si>
    <t>Unit 11 &amp; 12, Brewery Yard, Deva City Office Park,</t>
  </si>
  <si>
    <t>Salford</t>
  </si>
  <si>
    <t>M3 7BB</t>
  </si>
  <si>
    <t>Suite 26, Hamil House, 112-116 Chorley New Road</t>
  </si>
  <si>
    <t>BL1 4DH</t>
  </si>
  <si>
    <t xml:space="preserve">referralteam@stephensons.co.uk  </t>
  </si>
  <si>
    <t>St. Helens</t>
  </si>
  <si>
    <t>Suite 1.1, Century House</t>
  </si>
  <si>
    <t>Hardshaw Street</t>
  </si>
  <si>
    <t>WA10 1QU</t>
  </si>
  <si>
    <t>enquiries@stephensons.co.uk</t>
  </si>
  <si>
    <t>Christopher Davidson Solicitors LLP</t>
  </si>
  <si>
    <t>2 &amp; 3 Oriel Terrace</t>
  </si>
  <si>
    <t>Oriel Road</t>
  </si>
  <si>
    <t>GL50 1XP</t>
  </si>
  <si>
    <t>ke@cdlaw.co.uk</t>
  </si>
  <si>
    <t>Ashfords LLP</t>
  </si>
  <si>
    <t>Ashford House, Grenadier Road</t>
  </si>
  <si>
    <t>EX1 3LH</t>
  </si>
  <si>
    <t>conveyancing@ashfords.co.uk</t>
  </si>
  <si>
    <t>1 New Fetter Lane</t>
  </si>
  <si>
    <t>EC4A 1AN</t>
  </si>
  <si>
    <t>Tower Wharf</t>
  </si>
  <si>
    <t>Cheese Lane</t>
  </si>
  <si>
    <t>BS2 0JJ</t>
  </si>
  <si>
    <t>Bradford &amp; Son</t>
  </si>
  <si>
    <t>9 Moorgate Road</t>
  </si>
  <si>
    <t>S60 2EN</t>
  </si>
  <si>
    <t>bridget.thorpe@bradfordandson.co.uk</t>
  </si>
  <si>
    <t>The Barrington Law Partnership</t>
  </si>
  <si>
    <t>62 Front Street</t>
  </si>
  <si>
    <t>Stanhope</t>
  </si>
  <si>
    <t>DL13 2UD</t>
  </si>
  <si>
    <t>catherine@barringtonlp.co.uk</t>
  </si>
  <si>
    <t>Barrington Chambers, Victoria Avenue</t>
  </si>
  <si>
    <t>DL14 7JH</t>
  </si>
  <si>
    <t>Morgan Elis Limited</t>
  </si>
  <si>
    <t>14 Mansel Street</t>
  </si>
  <si>
    <t>SA31 1QX</t>
  </si>
  <si>
    <t>Stuart@morganelis.co.uk</t>
  </si>
  <si>
    <t xml:space="preserve">The Wilkes Partnership LLP </t>
  </si>
  <si>
    <t>866 Washwood Heath Road</t>
  </si>
  <si>
    <t>Washwood Heath</t>
  </si>
  <si>
    <t>B8 2NG</t>
  </si>
  <si>
    <t>AHolden@wilkes.co.uk</t>
  </si>
  <si>
    <t>41 Church Street</t>
  </si>
  <si>
    <t>B3 2RT</t>
  </si>
  <si>
    <t>aholden@wilkes.co.uk</t>
  </si>
  <si>
    <t xml:space="preserve">Stanton House, 54 Stratford Road </t>
  </si>
  <si>
    <t>B90 3LS</t>
  </si>
  <si>
    <t>158 Edmund Street</t>
  </si>
  <si>
    <t>B3 2HB</t>
  </si>
  <si>
    <t>Clarion Solicitors Limited</t>
  </si>
  <si>
    <t>13-19 Queen Street</t>
  </si>
  <si>
    <t>LS1 2TW</t>
  </si>
  <si>
    <t>susan.hemingway@clarionsolicitors.com</t>
  </si>
  <si>
    <t>Meadows Ryan Solicitors Ltd</t>
  </si>
  <si>
    <t>56 Church Street</t>
  </si>
  <si>
    <t>KT13 8DP</t>
  </si>
  <si>
    <t>SarahLewis@meadows-legal.com</t>
  </si>
  <si>
    <t>Level 1 Devonshire House</t>
  </si>
  <si>
    <t>One Mayfair Place</t>
  </si>
  <si>
    <t>Kilworthy Park, Office G54, Drake Road</t>
  </si>
  <si>
    <t>PL19 0BZ</t>
  </si>
  <si>
    <t>HM Legal Services Ltd</t>
  </si>
  <si>
    <t xml:space="preserve">Gorse Stacks House, George Street </t>
  </si>
  <si>
    <t>CH1 3EQ</t>
  </si>
  <si>
    <t>cfv@law.uk.com</t>
  </si>
  <si>
    <t>Exchange Station, Tithebarn Street</t>
  </si>
  <si>
    <t>L2 2QP</t>
  </si>
  <si>
    <t xml:space="preserve">ChhokarLaw LLP </t>
  </si>
  <si>
    <t>29a The Broadway</t>
  </si>
  <si>
    <t>Southall</t>
  </si>
  <si>
    <t>UB1 1JY</t>
  </si>
  <si>
    <t>santokh@chhokar.com</t>
  </si>
  <si>
    <t>Gerrards Cross</t>
  </si>
  <si>
    <t>Kent House, Oxford Road</t>
  </si>
  <si>
    <t>SL9 7DP</t>
  </si>
  <si>
    <t>law@chhokar.com</t>
  </si>
  <si>
    <t>Wason Male &amp; Wagland LLP</t>
  </si>
  <si>
    <t>Lantern House, 39-41 High Street</t>
  </si>
  <si>
    <t>EN6 5AJ</t>
  </si>
  <si>
    <t>amar@wmw-solicitors.co.uk</t>
  </si>
  <si>
    <t>Larcomes Legal Limited</t>
  </si>
  <si>
    <t>168 London Road</t>
  </si>
  <si>
    <t>PO2 9DN</t>
  </si>
  <si>
    <t>natalie.courage@larcomes.co.uk</t>
  </si>
  <si>
    <t>Appletree House, 17 St Georges Walk</t>
  </si>
  <si>
    <t>PO7 7TU</t>
  </si>
  <si>
    <t>Franklins Solicitors LLP</t>
  </si>
  <si>
    <t>11-13 Castilian Street</t>
  </si>
  <si>
    <t>NN1 1JS</t>
  </si>
  <si>
    <t>emma.mcnally@franklins-sols.co.uk</t>
  </si>
  <si>
    <t>8 Castilian Street</t>
  </si>
  <si>
    <t>NN1 1JX</t>
  </si>
  <si>
    <t>Conveyancing@franklins-sols.co.uk</t>
  </si>
  <si>
    <t>Ashton House, 3rd Floor</t>
  </si>
  <si>
    <t>409 Silbury Boulevard</t>
  </si>
  <si>
    <t>MK9 2AH</t>
  </si>
  <si>
    <t>Dutton Gregory LLP</t>
  </si>
  <si>
    <t>44 Jewry Street</t>
  </si>
  <si>
    <t>SO23 8RY</t>
  </si>
  <si>
    <t>DGResProp@duttongregory.co.uk</t>
  </si>
  <si>
    <t xml:space="preserve">Suite 5, Second Floor, </t>
  </si>
  <si>
    <t>Everdene House,Deansleigh Road</t>
  </si>
  <si>
    <t>BH7 7DU</t>
  </si>
  <si>
    <t>Chandler's Ford</t>
  </si>
  <si>
    <t>Concept House, 6 Stoneycroft Rise</t>
  </si>
  <si>
    <t>Eastleigh</t>
  </si>
  <si>
    <t>SO53 3LD</t>
  </si>
  <si>
    <t>24 Church Street West</t>
  </si>
  <si>
    <t>GU21 6HT</t>
  </si>
  <si>
    <t>contact@duttongregory.co.uk</t>
  </si>
  <si>
    <t>4th Floor Exchange Court, 1 Dale Street</t>
  </si>
  <si>
    <t>L2 2PP</t>
  </si>
  <si>
    <t>Coates Solicitors Limited</t>
  </si>
  <si>
    <t xml:space="preserve">62-64 High Street </t>
  </si>
  <si>
    <t>Mosborough</t>
  </si>
  <si>
    <t xml:space="preserve">Sheffield </t>
  </si>
  <si>
    <t>S20 5AE</t>
  </si>
  <si>
    <t>lindsay@coatessolicitors.co.uk</t>
  </si>
  <si>
    <t>Mirza Law Limited</t>
  </si>
  <si>
    <t>216A Hoe Street</t>
  </si>
  <si>
    <t>Walthamstow</t>
  </si>
  <si>
    <t>E17 3AY</t>
  </si>
  <si>
    <t>sajjid.elahi@mirzasolicitors.co.uk</t>
  </si>
  <si>
    <t>E &amp; K Solicitors</t>
  </si>
  <si>
    <t>45 Wilmslow Road</t>
  </si>
  <si>
    <t>M14 5TB</t>
  </si>
  <si>
    <t>Andrea@eandksolicitors.co.uk</t>
  </si>
  <si>
    <t>Thorntons Legal Ltd</t>
  </si>
  <si>
    <t>Rowan House South, Sitka Drive</t>
  </si>
  <si>
    <t>emily@thorntonslegal.com</t>
  </si>
  <si>
    <t>R N Williams &amp; Co Limited</t>
  </si>
  <si>
    <t>53 Waterloo Road</t>
  </si>
  <si>
    <t>WV1 4QQ</t>
  </si>
  <si>
    <t>TR@rnwilliams.com</t>
  </si>
  <si>
    <t>McCloy (LS) Limited</t>
  </si>
  <si>
    <t>4 The Shambles</t>
  </si>
  <si>
    <t>Bradford on Avon</t>
  </si>
  <si>
    <t>BA15 1JS</t>
  </si>
  <si>
    <t>law@mccloylegal.com</t>
  </si>
  <si>
    <t>The Commercial Law Practice Limited</t>
  </si>
  <si>
    <t>Pullman Court, Copper Street</t>
  </si>
  <si>
    <t>DT1 1GA</t>
  </si>
  <si>
    <t>df@thecommerciallawpractice.com</t>
  </si>
  <si>
    <t>Carter Vincent LLP</t>
  </si>
  <si>
    <t>Port House, Port Penrhyn</t>
  </si>
  <si>
    <t>Bangor</t>
  </si>
  <si>
    <t>LL57 4HN</t>
  </si>
  <si>
    <t>iestyn.harris@cartervincent.co.uk</t>
  </si>
  <si>
    <t>Llys Helyg, Brynmor Terrace</t>
  </si>
  <si>
    <t>Penmaenmawr</t>
  </si>
  <si>
    <t>LL34 6AW</t>
  </si>
  <si>
    <t>carla.forfar@cartervincent.co.uk</t>
  </si>
  <si>
    <t>Llanfairfechan</t>
  </si>
  <si>
    <t>Compton House, Station Road</t>
  </si>
  <si>
    <t>LL33 0AL</t>
  </si>
  <si>
    <t>Beechwood Solicitors Limited</t>
  </si>
  <si>
    <t>The Old Post Office, 19 Banbury Road</t>
  </si>
  <si>
    <t>Kidlington</t>
  </si>
  <si>
    <t>OX5 1AQ</t>
  </si>
  <si>
    <t>Nicola@beechwoodsolicitors.com</t>
  </si>
  <si>
    <t>2 Elm Place</t>
  </si>
  <si>
    <t>Eynsham</t>
  </si>
  <si>
    <t>Oxon</t>
  </si>
  <si>
    <t>OX29 4BD</t>
  </si>
  <si>
    <t>nicola@beechwoodsolicitors.com</t>
  </si>
  <si>
    <t>Hodge Halsall Solicitors Limited</t>
  </si>
  <si>
    <t>18 Hoghton Street</t>
  </si>
  <si>
    <t>derekalman@hhlegal.co.uk</t>
  </si>
  <si>
    <t>565 Liverpool Road</t>
  </si>
  <si>
    <t>Ainsdale</t>
  </si>
  <si>
    <t>PR8 3LU</t>
  </si>
  <si>
    <t>gordonhatton@hhlegal.co.uk</t>
  </si>
  <si>
    <t>Hallett &amp; Co</t>
  </si>
  <si>
    <t>11 Bank Street</t>
  </si>
  <si>
    <t>TN23 1DA</t>
  </si>
  <si>
    <t>aad@hallettandco.co.uk</t>
  </si>
  <si>
    <t>St Mary's House, The Square</t>
  </si>
  <si>
    <t>Lenham</t>
  </si>
  <si>
    <t>ME17 2PH</t>
  </si>
  <si>
    <t>lenham@hallettandco.co.uk</t>
  </si>
  <si>
    <t>Sittingbourne</t>
  </si>
  <si>
    <t>14 Park Road</t>
  </si>
  <si>
    <t>ME10 1DR</t>
  </si>
  <si>
    <t>Tickle Hall Cross Limited</t>
  </si>
  <si>
    <t>Carlton Chambers, 25 Hardshaw Street</t>
  </si>
  <si>
    <t>St Helens</t>
  </si>
  <si>
    <t>WA10 1RP</t>
  </si>
  <si>
    <t>joanneh@ticklehallcross.co.uk</t>
  </si>
  <si>
    <t>2 Derby Street</t>
  </si>
  <si>
    <t>L34 3LJ</t>
  </si>
  <si>
    <t>Rainhill</t>
  </si>
  <si>
    <t>The Old Bank, 499 Warrington Road</t>
  </si>
  <si>
    <t>L35 0LR</t>
  </si>
  <si>
    <t>Paytons Solicitors LLP</t>
  </si>
  <si>
    <t>Elphick House, 287 Worcester Road</t>
  </si>
  <si>
    <t>WR14 1AB</t>
  </si>
  <si>
    <t>cm@paytons.co.uk</t>
  </si>
  <si>
    <t>Charles Russell Speechlys LLP</t>
  </si>
  <si>
    <t>5 Fleet Place</t>
  </si>
  <si>
    <t>EC4M 7RD</t>
  </si>
  <si>
    <t>thomas.moran@crsblaw.com</t>
  </si>
  <si>
    <t xml:space="preserve">Compass House, </t>
  </si>
  <si>
    <t>Lypiatt Road</t>
  </si>
  <si>
    <t>GL50 2QJ</t>
  </si>
  <si>
    <t>tristram.vanlawick@crsblaw.com</t>
  </si>
  <si>
    <t>One London Square</t>
  </si>
  <si>
    <t>Cross Lanes</t>
  </si>
  <si>
    <t>GU1 1UN</t>
  </si>
  <si>
    <t>william.marriott@crsblaw.com</t>
  </si>
  <si>
    <t>Emyr Pierce Solicitors</t>
  </si>
  <si>
    <t>1 Heol Y Deri</t>
  </si>
  <si>
    <t>Rhiwbina</t>
  </si>
  <si>
    <t>CF14 6HA</t>
  </si>
  <si>
    <t>law@emyrpierce.co.uk</t>
  </si>
  <si>
    <t>Steels Solicitors limited</t>
  </si>
  <si>
    <t>17 Bold Street</t>
  </si>
  <si>
    <t>Warrington</t>
  </si>
  <si>
    <t>WA1 1DH</t>
  </si>
  <si>
    <t>john@steels-solicitors.co.uk</t>
  </si>
  <si>
    <t>Stockton Heath</t>
  </si>
  <si>
    <t>1 Victoria Road</t>
  </si>
  <si>
    <t>WA4 2AL</t>
  </si>
  <si>
    <t>ml@steels-solicitors.co.uk</t>
  </si>
  <si>
    <t>Leading Property Lawyers Limited</t>
  </si>
  <si>
    <t>5th Floor, Delphian House, Riverside</t>
  </si>
  <si>
    <t>New Bailey Street</t>
  </si>
  <si>
    <t>M3 5FS</t>
  </si>
  <si>
    <t>newbusiness@leadingpropertylawyers.co.uk</t>
  </si>
  <si>
    <t>Fisher Jones Greenwood LLP</t>
  </si>
  <si>
    <t>The Tower</t>
  </si>
  <si>
    <t>Phoenix Square, Wyncolls Road</t>
  </si>
  <si>
    <t>CO4 9HU</t>
  </si>
  <si>
    <t>TThompson@fjg.co.uk</t>
  </si>
  <si>
    <t>Clacton-on-Sea</t>
  </si>
  <si>
    <t>73 Station Road</t>
  </si>
  <si>
    <t>16 Baddow Road</t>
  </si>
  <si>
    <t>Braintree</t>
  </si>
  <si>
    <t>17 Coggeshall Road</t>
  </si>
  <si>
    <t>CM7 9DB</t>
  </si>
  <si>
    <t>Sudbury</t>
  </si>
  <si>
    <t>18A Market Hill</t>
  </si>
  <si>
    <t>CO10 2EA</t>
  </si>
  <si>
    <t>Burley Geach Solicitors LLP</t>
  </si>
  <si>
    <t>GU27 2AG</t>
  </si>
  <si>
    <t>angela.church@burley-geach.co.uk</t>
  </si>
  <si>
    <t>8 Swan Street</t>
  </si>
  <si>
    <t>PETERSFIELD</t>
  </si>
  <si>
    <t>GU32 3AE</t>
  </si>
  <si>
    <t>LIPHOOK</t>
  </si>
  <si>
    <t>Index House, Midhurst Road</t>
  </si>
  <si>
    <t>GU30 7TN</t>
  </si>
  <si>
    <t>Warner Goodman LLP</t>
  </si>
  <si>
    <t>Portland Chambers, 66 West Street</t>
  </si>
  <si>
    <t>PO16 0JR</t>
  </si>
  <si>
    <t>annemills@warnergoodman.co.uk</t>
  </si>
  <si>
    <t>Compass House 1-3 The Avenue</t>
  </si>
  <si>
    <t>SO17 1XG</t>
  </si>
  <si>
    <t>enquiries@warnergoodman.co.uk</t>
  </si>
  <si>
    <t>Colman House, 2/4 Landport Terrace</t>
  </si>
  <si>
    <t>PO1 2RG</t>
  </si>
  <si>
    <t>100A Winchester Road</t>
  </si>
  <si>
    <t>SO53 2GJ</t>
  </si>
  <si>
    <t>49 Basepoint Business Centre</t>
  </si>
  <si>
    <t>Waterberry Drive</t>
  </si>
  <si>
    <t>PO7 7TH</t>
  </si>
  <si>
    <t>Foort Tayler Limited</t>
  </si>
  <si>
    <t>Dunmow</t>
  </si>
  <si>
    <t>CM6 1AH</t>
  </si>
  <si>
    <t>info@foort-tayler.co.uk</t>
  </si>
  <si>
    <t>Charles Douglas Solicitors LLP</t>
  </si>
  <si>
    <t>32 Old Burlington Street</t>
  </si>
  <si>
    <t>W1S 3AT</t>
  </si>
  <si>
    <t>richardstarr@cdsmayfair.com</t>
  </si>
  <si>
    <t>Haworth Brotherton</t>
  </si>
  <si>
    <t>6 Crescent East</t>
  </si>
  <si>
    <t>FY5 3LX</t>
  </si>
  <si>
    <t>ld@haworthbrotherton.co.uk</t>
  </si>
  <si>
    <t>Porter Dodson LLP</t>
  </si>
  <si>
    <t>Telford House, The Park</t>
  </si>
  <si>
    <t>BA20 1DY</t>
  </si>
  <si>
    <t>mandy.saunders@porterdodson.co.uk</t>
  </si>
  <si>
    <t>TA21 8QR</t>
  </si>
  <si>
    <t>Suite 1, Bretts Yard, Digby Road</t>
  </si>
  <si>
    <t>DT9 3NL</t>
  </si>
  <si>
    <t>Bridport</t>
  </si>
  <si>
    <t>21 South Street</t>
  </si>
  <si>
    <t>DT6 3NR</t>
  </si>
  <si>
    <t>Suite 1, Mey House, Bridport Road</t>
  </si>
  <si>
    <t>DT1 3QY</t>
  </si>
  <si>
    <t>11-15 Dix's Field</t>
  </si>
  <si>
    <t>Gardner Champion Solicitors Ltd</t>
  </si>
  <si>
    <t>Brook House</t>
  </si>
  <si>
    <t>Brook Square</t>
  </si>
  <si>
    <t>WS15 2DT</t>
  </si>
  <si>
    <t>ja@gardnerchampion.co.uk</t>
  </si>
  <si>
    <t>RMNJ Solicitors</t>
  </si>
  <si>
    <t>63 Hamilton Square</t>
  </si>
  <si>
    <t>CH41 5JF</t>
  </si>
  <si>
    <t>stephen.white@rmnj.co.uk</t>
  </si>
  <si>
    <t>KTS Legal Limited</t>
  </si>
  <si>
    <t xml:space="preserve">EQUITIS HOUSE 23-25 ALDERMANS HILL </t>
  </si>
  <si>
    <t>PALMERS GREEN</t>
  </si>
  <si>
    <t xml:space="preserve">LONDON </t>
  </si>
  <si>
    <t>N13 4YD</t>
  </si>
  <si>
    <t>info@ktslegal.com</t>
  </si>
  <si>
    <t xml:space="preserve">29 Lincoln’s Inn Fields </t>
  </si>
  <si>
    <t>WC2A 3EG</t>
  </si>
  <si>
    <t>email@mgb.law</t>
  </si>
  <si>
    <t>Eldridges Legal Services Limited</t>
  </si>
  <si>
    <t xml:space="preserve">36 St James' Street, </t>
  </si>
  <si>
    <t>PO30 1LF</t>
  </si>
  <si>
    <t>ian.bradshaw@eldridges.co.uk</t>
  </si>
  <si>
    <t>Avenue House, Avenue Road</t>
  </si>
  <si>
    <t>Freshwater</t>
  </si>
  <si>
    <t>PO40 9UZ</t>
  </si>
  <si>
    <t>Franklins Law Leighton Buzzard Limited</t>
  </si>
  <si>
    <t>Church House</t>
  </si>
  <si>
    <t>11 Church Square</t>
  </si>
  <si>
    <t>Leighton Buzzard</t>
  </si>
  <si>
    <t>LU7 1AE</t>
  </si>
  <si>
    <t>jlg@fmtsolicitors.co.uk</t>
  </si>
  <si>
    <t>Chris Stevenson Solicitors</t>
  </si>
  <si>
    <t>Whitegates, 103 Thorne Road</t>
  </si>
  <si>
    <t>DN2 5BE</t>
  </si>
  <si>
    <t>chris.stevenson@chris-stevenson.co.uk</t>
  </si>
  <si>
    <t>Holley &amp; Steer</t>
  </si>
  <si>
    <t>Tregunter, 1 Berrow Road</t>
  </si>
  <si>
    <t>Burnham-on-Sea</t>
  </si>
  <si>
    <t>TA8 2ET</t>
  </si>
  <si>
    <t>brendansteer@holleyandsteer.co.uk</t>
  </si>
  <si>
    <t>24 College Street</t>
  </si>
  <si>
    <t>Burnham-On-Sea</t>
  </si>
  <si>
    <t>TA8 1AT</t>
  </si>
  <si>
    <t xml:space="preserve">john@johnshirleylaw.co.uk </t>
  </si>
  <si>
    <t>CooperBurnett LLP</t>
  </si>
  <si>
    <t>Napier House, 14-16 Mount Ephraim Road</t>
  </si>
  <si>
    <t>clk@cooperburnett.com</t>
  </si>
  <si>
    <t>Pellys Solicitors Limited</t>
  </si>
  <si>
    <t>20a Market Hill</t>
  </si>
  <si>
    <t>Royston</t>
  </si>
  <si>
    <t>SG8 9JG</t>
  </si>
  <si>
    <t>AndrinaStewart@pellys.co.uk</t>
  </si>
  <si>
    <t>CB10 1HR</t>
  </si>
  <si>
    <t>Biggleswade</t>
  </si>
  <si>
    <t>2 London Road</t>
  </si>
  <si>
    <t>SG18 8EB</t>
  </si>
  <si>
    <t xml:space="preserve">Alderson Law LLP </t>
  </si>
  <si>
    <t xml:space="preserve">Pethgate House, Castle Square </t>
  </si>
  <si>
    <t xml:space="preserve">Morpeth </t>
  </si>
  <si>
    <t>NE61 1YL</t>
  </si>
  <si>
    <t>juliefarrellknowles@aldersonlaw.co.uk</t>
  </si>
  <si>
    <t>Blyth</t>
  </si>
  <si>
    <t>4-8 Stanley Street</t>
  </si>
  <si>
    <t>NE24 2BU</t>
  </si>
  <si>
    <t>JulieFarrellKnowles@aldersonlaw.co.uk</t>
  </si>
  <si>
    <t>John Barkers Solicitors Limited</t>
  </si>
  <si>
    <t>Telegraph House, 80 Cleethorpe Road</t>
  </si>
  <si>
    <t>North East Lincs</t>
  </si>
  <si>
    <t>DN31 3EF</t>
  </si>
  <si>
    <t>kc@jbarkers.co.uk</t>
  </si>
  <si>
    <t>Louth Business Centre, Milford Court</t>
  </si>
  <si>
    <t>Fairfield Industrial Estate</t>
  </si>
  <si>
    <t>LN11 0YB</t>
  </si>
  <si>
    <t>LTH@jbarkers.co.uk</t>
  </si>
  <si>
    <t>Hugh-Jones LLP</t>
  </si>
  <si>
    <t>Aston House, Ground Floor</t>
  </si>
  <si>
    <t>Cornwall Avenue</t>
  </si>
  <si>
    <t>N3 1LF</t>
  </si>
  <si>
    <t>e.dervish@hugh-jones.co.uk</t>
  </si>
  <si>
    <t>Henry Hyams Limited</t>
  </si>
  <si>
    <t>Oxford Row</t>
  </si>
  <si>
    <t>LS1 3BE</t>
  </si>
  <si>
    <t>m.bush@henryhyams.com</t>
  </si>
  <si>
    <t>Morgan &amp; Richardson Cyf Limited</t>
  </si>
  <si>
    <t>7 St Mary Street</t>
  </si>
  <si>
    <t>SA43 1HB</t>
  </si>
  <si>
    <t>julia@morganandrichardson.co.uk</t>
  </si>
  <si>
    <t>David Gray Solicitors LLP</t>
  </si>
  <si>
    <t>Old County Court, 56 Westgate Road</t>
  </si>
  <si>
    <t>NE1 5XU</t>
  </si>
  <si>
    <t>anne.austin@davidgray.co.uk</t>
  </si>
  <si>
    <t>142 Fowler Street</t>
  </si>
  <si>
    <t>NE33 1PZ</t>
  </si>
  <si>
    <t>Excel Legal Limited</t>
  </si>
  <si>
    <t>Unit 8 Whilems Works, Forest Road</t>
  </si>
  <si>
    <t>Hainault</t>
  </si>
  <si>
    <t>IG6 3HJ</t>
  </si>
  <si>
    <t>ha@excelaw.com</t>
  </si>
  <si>
    <t>Whitmore Law Limited</t>
  </si>
  <si>
    <t>10 Cameron Road</t>
  </si>
  <si>
    <t>Seven Kings</t>
  </si>
  <si>
    <t>IG3 8LA</t>
  </si>
  <si>
    <t>ap@whitmorelaw.co.uk</t>
  </si>
  <si>
    <t>Cygnet Family Law Ltd</t>
  </si>
  <si>
    <t>Portland House</t>
  </si>
  <si>
    <t>West Dyke Road</t>
  </si>
  <si>
    <t>TS10 1DH</t>
  </si>
  <si>
    <t>gbrooke@cygnetlaw.co.uk</t>
  </si>
  <si>
    <t>Victoria House Business Centre</t>
  </si>
  <si>
    <t>159 Albert Road</t>
  </si>
  <si>
    <t>TS1 2PX</t>
  </si>
  <si>
    <t>enquiries@cygnetlaw.co.uk</t>
  </si>
  <si>
    <t>Martin Tolhurst Partnership LLP</t>
  </si>
  <si>
    <t>61b Station Road</t>
  </si>
  <si>
    <t>Longfield</t>
  </si>
  <si>
    <t>DA3 7QA</t>
  </si>
  <si>
    <t>rjcarterlms@martintolhurst.co.uk</t>
  </si>
  <si>
    <t>Suite 1 Exchange House, Monument Way</t>
  </si>
  <si>
    <t>Orbital Park</t>
  </si>
  <si>
    <t>TN24 0HB</t>
  </si>
  <si>
    <t xml:space="preserve">rjcarterlms@martintolhurst.co.uk </t>
  </si>
  <si>
    <t>7 Conqueror Court</t>
  </si>
  <si>
    <t>ME10 5BH</t>
  </si>
  <si>
    <t>Unit 4</t>
  </si>
  <si>
    <t>Ambley Green</t>
  </si>
  <si>
    <t>Gillingham Business Park</t>
  </si>
  <si>
    <t>Gillingham, Kent</t>
  </si>
  <si>
    <t>ME8 0NJ</t>
  </si>
  <si>
    <t>F Barnes Solicitors Limited</t>
  </si>
  <si>
    <t>3rd Floor, 1-5 High Street</t>
  </si>
  <si>
    <t>RM1 1JU</t>
  </si>
  <si>
    <t>ingrid.juhanson@fbarnes.co.uk</t>
  </si>
  <si>
    <t>Collier Row</t>
  </si>
  <si>
    <t>14 Chase Cross Road</t>
  </si>
  <si>
    <t>RM5 3PS</t>
  </si>
  <si>
    <t>collier.row@fbarnes.co.uk</t>
  </si>
  <si>
    <t>20 Balgores Square</t>
  </si>
  <si>
    <t>RM2 6AU</t>
  </si>
  <si>
    <t>gidea.park@fbarnes.co.uk</t>
  </si>
  <si>
    <t>Vyman Solicitors Limited</t>
  </si>
  <si>
    <t>Vyman House 104 College Road</t>
  </si>
  <si>
    <t>HA1 1BQ</t>
  </si>
  <si>
    <t>priti.patel@vyman.co.uk</t>
  </si>
  <si>
    <t>Houldsworth Hall Limited</t>
  </si>
  <si>
    <t>Pullman House, 2-4 Duck Street</t>
  </si>
  <si>
    <t>BB7 1LP</t>
  </si>
  <si>
    <t>amanda.hall@houldsworthsolicitors.co.uk</t>
  </si>
  <si>
    <t>Genesis Legal Services Limited</t>
  </si>
  <si>
    <t>The Granary, 2&amp;3 The Barns, Longham Farm Close,</t>
  </si>
  <si>
    <t>BH22 9DE</t>
  </si>
  <si>
    <t>enquiries@genesislegal.co.uk</t>
  </si>
  <si>
    <t>Moss &amp; Coleman Solicitors Limited</t>
  </si>
  <si>
    <t>170-180 High Street</t>
  </si>
  <si>
    <t>Hornchurch</t>
  </si>
  <si>
    <t>RM12 6JP</t>
  </si>
  <si>
    <t>d.clements@mosco.co.uk</t>
  </si>
  <si>
    <t>Livingstons Solicitors Limited</t>
  </si>
  <si>
    <t>9 Benson Street</t>
  </si>
  <si>
    <t>Ulverston</t>
  </si>
  <si>
    <t>LA12 7AU</t>
  </si>
  <si>
    <t>k.chambers@livingstons.co.uk</t>
  </si>
  <si>
    <t>Dalton-in-Furness</t>
  </si>
  <si>
    <t>57-61 Market Street</t>
  </si>
  <si>
    <t>LA15 8AW</t>
  </si>
  <si>
    <t>John Howe &amp; Co Solicitors Limited</t>
  </si>
  <si>
    <t>Cooperative Chambers,4 Manor House Street</t>
  </si>
  <si>
    <t>LS28 7BJ</t>
  </si>
  <si>
    <t>jenna@jhowe.co.uk</t>
  </si>
  <si>
    <t>Gorvins Residential LLP</t>
  </si>
  <si>
    <t>Dale House</t>
  </si>
  <si>
    <t>Tiviot Dale</t>
  </si>
  <si>
    <t>SK1 1TA</t>
  </si>
  <si>
    <t>Robert.Johnson@gorvinsresi.com</t>
  </si>
  <si>
    <t>Unit 18, North Staffs Enterprise Centre</t>
  </si>
  <si>
    <t>Innovation Way</t>
  </si>
  <si>
    <t>Stoke on Trent</t>
  </si>
  <si>
    <t>ST6 4BF</t>
  </si>
  <si>
    <t>robert.johnson@gorvinsresi.com</t>
  </si>
  <si>
    <t>Merali Beedle Limited</t>
  </si>
  <si>
    <t>Vicarage House, 58-60 Kensington Church Street</t>
  </si>
  <si>
    <t>W8 4DB</t>
  </si>
  <si>
    <t>info@meralibeedle.com</t>
  </si>
  <si>
    <t>True Solicitors LLP</t>
  </si>
  <si>
    <t>New Bridge Street West</t>
  </si>
  <si>
    <t>NE1 8AP</t>
  </si>
  <si>
    <t>patricia.hall@true.co.uk</t>
  </si>
  <si>
    <t>Beswicks Solicitors LLP</t>
  </si>
  <si>
    <t>West Court, Campbell Road</t>
  </si>
  <si>
    <t>ST4 4FB</t>
  </si>
  <si>
    <t>accounts@beswicks.com</t>
  </si>
  <si>
    <t>Burtons Solicitors Limited</t>
  </si>
  <si>
    <t>Tyled House, 23a High Street</t>
  </si>
  <si>
    <t>Pembury</t>
  </si>
  <si>
    <t>TN2 4PH</t>
  </si>
  <si>
    <t>maria@burtons-solicitors.com</t>
  </si>
  <si>
    <t>Walderslade</t>
  </si>
  <si>
    <t>377 Walderslade Road</t>
  </si>
  <si>
    <t>Chatham</t>
  </si>
  <si>
    <t>ME5 9LL</t>
  </si>
  <si>
    <t>Suite 1, Peach Business Centre, 8 Chestnut Avenue</t>
  </si>
  <si>
    <t>ME5 9AJ</t>
  </si>
  <si>
    <t>3 St. Marys Walk</t>
  </si>
  <si>
    <t>BN27 1AF</t>
  </si>
  <si>
    <t>info@burtons-solicitors.com</t>
  </si>
  <si>
    <t>Bexley</t>
  </si>
  <si>
    <t>79 Bexley High Street</t>
  </si>
  <si>
    <t>DA5 1JX</t>
  </si>
  <si>
    <t>bexley@burtons-solicitors.com</t>
  </si>
  <si>
    <t>16 Manor Road</t>
  </si>
  <si>
    <t>ME4 6AG</t>
  </si>
  <si>
    <t>Hewitts</t>
  </si>
  <si>
    <t>207 Newgate Street</t>
  </si>
  <si>
    <t>DL14 7EL</t>
  </si>
  <si>
    <t>kellyhind@hewitts.co.uk</t>
  </si>
  <si>
    <t>121-122 High Street</t>
  </si>
  <si>
    <t>TS18 1AY</t>
  </si>
  <si>
    <t>Freemans Place, Haughton Road</t>
  </si>
  <si>
    <t>DL1 1SZ</t>
  </si>
  <si>
    <t>Conveyancing Expert Limited</t>
  </si>
  <si>
    <t>117 Chorley Road</t>
  </si>
  <si>
    <t>Swinton</t>
  </si>
  <si>
    <t>M27 4AA</t>
  </si>
  <si>
    <t>g.wall@conveyancingexpert.co.uk</t>
  </si>
  <si>
    <t>Thomson Hayton Winkley Limited</t>
  </si>
  <si>
    <t>114-116 Stricklandgate</t>
  </si>
  <si>
    <t>LA9 4QA</t>
  </si>
  <si>
    <t>nina.hood@thwlegal.co.uk</t>
  </si>
  <si>
    <t>Windermere</t>
  </si>
  <si>
    <t>Regent House</t>
  </si>
  <si>
    <t>25 Crescent Road</t>
  </si>
  <si>
    <t>LA23 1BJ</t>
  </si>
  <si>
    <t>Stephanie.Fleming@thwlegal.co.uk</t>
  </si>
  <si>
    <t>29 Main Street</t>
  </si>
  <si>
    <t>LA6 2AH</t>
  </si>
  <si>
    <t>Hindle Campbell Limited</t>
  </si>
  <si>
    <t>8 Northumberland Square</t>
  </si>
  <si>
    <t>NE30 1QQ</t>
  </si>
  <si>
    <t>anita.burnett@hindle-campbell.co.uk</t>
  </si>
  <si>
    <t>David Bunn &amp; Co</t>
  </si>
  <si>
    <t>886 Bristol Road South</t>
  </si>
  <si>
    <t>Northfield</t>
  </si>
  <si>
    <t>B31 2NS</t>
  </si>
  <si>
    <t>northfield@david-bunn.com</t>
  </si>
  <si>
    <t>Kings Heath</t>
  </si>
  <si>
    <t>20 High Street</t>
  </si>
  <si>
    <t>B14 7JT</t>
  </si>
  <si>
    <t>kingsheath@david-bunn.com</t>
  </si>
  <si>
    <t>Rubery</t>
  </si>
  <si>
    <t>120 New Road</t>
  </si>
  <si>
    <t>B45 9HY</t>
  </si>
  <si>
    <t>rubery@david-bunn.com</t>
  </si>
  <si>
    <t>Stirchley</t>
  </si>
  <si>
    <t>1400 Pershore Road</t>
  </si>
  <si>
    <t>B30 2PH</t>
  </si>
  <si>
    <t>stirchley@david-bunn.com</t>
  </si>
  <si>
    <t>171 Weoley Castle Road</t>
  </si>
  <si>
    <t>B29 5QH</t>
  </si>
  <si>
    <t>Weoley@david-bunn.com</t>
  </si>
  <si>
    <t>Noble Harbour Solicitors</t>
  </si>
  <si>
    <t>14c West Street</t>
  </si>
  <si>
    <t>SA4 4AA</t>
  </si>
  <si>
    <t>gorseinon@nobleharboursolicitors.co.uk</t>
  </si>
  <si>
    <t>Taylor Haldane Barlex LLP</t>
  </si>
  <si>
    <t>Hampton House 137 Beehive Lane</t>
  </si>
  <si>
    <t>CM2 9RX</t>
  </si>
  <si>
    <t>pjohal@thblegal.com</t>
  </si>
  <si>
    <t>61 Ness Road</t>
  </si>
  <si>
    <t>Shoeburyness</t>
  </si>
  <si>
    <t>Southend-on-Sea</t>
  </si>
  <si>
    <t>SS3 9DB</t>
  </si>
  <si>
    <t>jeremy.monod@robinsonslaw.co.uk</t>
  </si>
  <si>
    <t>65 Newland Street</t>
  </si>
  <si>
    <t>CM8 1AB</t>
  </si>
  <si>
    <t>mail@thblegal.com</t>
  </si>
  <si>
    <t>Southend-On-Sea</t>
  </si>
  <si>
    <t>198 The Broadway</t>
  </si>
  <si>
    <t>SS1 3EU</t>
  </si>
  <si>
    <t>ahurrell@thblegal.com</t>
  </si>
  <si>
    <t>Whitefields Lawyers London Ltd</t>
  </si>
  <si>
    <t>384-388 Hoe Street</t>
  </si>
  <si>
    <t>E17 9AA</t>
  </si>
  <si>
    <t>info@whitefieldslaw.co.uk</t>
  </si>
  <si>
    <t>BPE Solicitors LLP</t>
  </si>
  <si>
    <t>St James' House, St James' Square</t>
  </si>
  <si>
    <t>GL50 3PR</t>
  </si>
  <si>
    <t>karmen.waldron@bpe.co.uk</t>
  </si>
  <si>
    <t>89 Judd Street</t>
  </si>
  <si>
    <t>WC1H 9NE</t>
  </si>
  <si>
    <t>Gamlins Law Limited</t>
  </si>
  <si>
    <t>Morfa Hall</t>
  </si>
  <si>
    <t>Stryd Y Baddon</t>
  </si>
  <si>
    <t>Y Rhyl</t>
  </si>
  <si>
    <t xml:space="preserve">Denbighshire </t>
  </si>
  <si>
    <t>LL18 3EB</t>
  </si>
  <si>
    <t>glyn.morriceevans@gamlins.co.uk</t>
  </si>
  <si>
    <t>Vron Chambers, High Street</t>
  </si>
  <si>
    <t>Holywell</t>
  </si>
  <si>
    <t>CH8 7LL</t>
  </si>
  <si>
    <t>Glyn.Morriceevans@gamlins.co.uk</t>
  </si>
  <si>
    <t>Llys Aneurin, Crown Lane</t>
  </si>
  <si>
    <t>LL16 3SY</t>
  </si>
  <si>
    <t>16 St Peter's Square</t>
  </si>
  <si>
    <t>LL15 1AD</t>
  </si>
  <si>
    <t>5-7 Market Street</t>
  </si>
  <si>
    <t>Abergele</t>
  </si>
  <si>
    <t>LL22 7AG</t>
  </si>
  <si>
    <t>Cambrian Chambers, Earl Road</t>
  </si>
  <si>
    <t>CH7 1AJ</t>
  </si>
  <si>
    <t>Harvey Roberts</t>
  </si>
  <si>
    <t>92-94 Gorton Road</t>
  </si>
  <si>
    <t>Reddish</t>
  </si>
  <si>
    <t>SK5 6AN</t>
  </si>
  <si>
    <t>john@harveyroberts.co.uk</t>
  </si>
  <si>
    <t>Paul Robinson Solicitors LLP</t>
  </si>
  <si>
    <t>The Old Bank, 470-474 London Road</t>
  </si>
  <si>
    <t>Westcliff on Sea</t>
  </si>
  <si>
    <t>SS0 9LD</t>
  </si>
  <si>
    <t>chunter@paulrobinson.co.uk</t>
  </si>
  <si>
    <t>Regis House</t>
  </si>
  <si>
    <t>98 High Street</t>
  </si>
  <si>
    <t>CM12 9BT</t>
  </si>
  <si>
    <t>Stratford Town Hall Annexe, 29 Broadway</t>
  </si>
  <si>
    <t>E15 4BQ</t>
  </si>
  <si>
    <t>150 London Road</t>
  </si>
  <si>
    <t>SS7 5SQ</t>
  </si>
  <si>
    <t>125 Old Broad Street</t>
  </si>
  <si>
    <t>EC2N 1AR</t>
  </si>
  <si>
    <t>info@paulrobinson.co.uk</t>
  </si>
  <si>
    <t>13-14 Market Place</t>
  </si>
  <si>
    <t>TR18 2JB</t>
  </si>
  <si>
    <t>Eccles Heddon Solicitors Ltd</t>
  </si>
  <si>
    <t>5 Westgate</t>
  </si>
  <si>
    <t>HG4 2AT</t>
  </si>
  <si>
    <t>practicemanager@eccles-heddon.com</t>
  </si>
  <si>
    <t>Hurstwood Business Centre</t>
  </si>
  <si>
    <t>Thirsk Industrial Park, York Road</t>
  </si>
  <si>
    <t>YO7 3BX</t>
  </si>
  <si>
    <t>thirsk@eccles-heddon.com</t>
  </si>
  <si>
    <t>Bedale</t>
  </si>
  <si>
    <t>5 South End</t>
  </si>
  <si>
    <t>DL8 2BJ</t>
  </si>
  <si>
    <t>bedale@eccles-heddon.com</t>
  </si>
  <si>
    <t>Kingsley Napley LLP</t>
  </si>
  <si>
    <t>20 Bonhill Street</t>
  </si>
  <si>
    <t>EC2A 4DN</t>
  </si>
  <si>
    <t>bowen@kingsleynapley.co.uk</t>
  </si>
  <si>
    <t>Bartletts Solicitors Limited</t>
  </si>
  <si>
    <t>Marldon Chambers</t>
  </si>
  <si>
    <t>30 North John Street</t>
  </si>
  <si>
    <t>L2 9QN</t>
  </si>
  <si>
    <t>ln@bartlettslaw.co.uk</t>
  </si>
  <si>
    <t>31 Hoole Road</t>
  </si>
  <si>
    <t>CH2 3NF</t>
  </si>
  <si>
    <t>km@bartlettslaw.co.uk</t>
  </si>
  <si>
    <t>16 Nicholas Street</t>
  </si>
  <si>
    <t>CH1 2NX</t>
  </si>
  <si>
    <t>pbartlett@bartlettslaw.co.uk</t>
  </si>
  <si>
    <t xml:space="preserve">Gawor &amp; Co </t>
  </si>
  <si>
    <t>New Crane Wharf, New Crane Place</t>
  </si>
  <si>
    <t>Wapping</t>
  </si>
  <si>
    <t>E1W 3TS</t>
  </si>
  <si>
    <t>tammy@gawor.com</t>
  </si>
  <si>
    <t>Irwin Mitchell LLP</t>
  </si>
  <si>
    <t>Riverside East, 2 Millsands</t>
  </si>
  <si>
    <t>S3 8DT</t>
  </si>
  <si>
    <t>helen.hutchison@irwinmitchell.com</t>
  </si>
  <si>
    <t>Oxford House, 12-20 Oxford Street</t>
  </si>
  <si>
    <t xml:space="preserve">Newbury, </t>
  </si>
  <si>
    <t>RG14 1JB</t>
  </si>
  <si>
    <t>PropertyResidentialPropertyNewbury@Irwinmitchell.com</t>
  </si>
  <si>
    <t>The Northcliffe 26-28 Tudor Street</t>
  </si>
  <si>
    <t xml:space="preserve">EC4Y 0AY </t>
  </si>
  <si>
    <t>residentialconveyancing@irwinmitchell.com</t>
  </si>
  <si>
    <t>Ward Hadaway LLP</t>
  </si>
  <si>
    <t>Sandgate House, 102 Quayside</t>
  </si>
  <si>
    <t>NE1 3DX</t>
  </si>
  <si>
    <t>tom.wills@wardhadaway.com</t>
  </si>
  <si>
    <t>5 Wellington Place</t>
  </si>
  <si>
    <t>LS1 4AP</t>
  </si>
  <si>
    <t>7th Floor, 10 Chapel Walks</t>
  </si>
  <si>
    <t>M2 1HL</t>
  </si>
  <si>
    <t xml:space="preserve">Manchester </t>
  </si>
  <si>
    <t>Cooklaw Solicitors Ltd</t>
  </si>
  <si>
    <t>2a &amp; 2b Colima Avenue</t>
  </si>
  <si>
    <t>Sunderland Enterprise Park</t>
  </si>
  <si>
    <t>SR5 3XB</t>
  </si>
  <si>
    <t>richard@cooklaw.co.uk</t>
  </si>
  <si>
    <t>Aaron &amp; Partners LLP</t>
  </si>
  <si>
    <t>5-7 Grosvenor Court,</t>
  </si>
  <si>
    <t xml:space="preserve">Foregate Street </t>
  </si>
  <si>
    <t>CH1 1HG</t>
  </si>
  <si>
    <t>Joanne.Parsons@aaronandpartners.com</t>
  </si>
  <si>
    <t>Lakeside House</t>
  </si>
  <si>
    <t>Oxon Business Park</t>
  </si>
  <si>
    <t>SY3 5HJ</t>
  </si>
  <si>
    <t>joanne.parsons@aaronandpartners.com</t>
  </si>
  <si>
    <t>Fentiman Legal Ltd</t>
  </si>
  <si>
    <t>Greville Court Business Centre, 1665, High Street</t>
  </si>
  <si>
    <t>B93 0LL</t>
  </si>
  <si>
    <t>archana.rai-jethwa@fentimans.co.uk</t>
  </si>
  <si>
    <t>84 Salop Street</t>
  </si>
  <si>
    <t>archana.jethwa@fentimans.co.uk</t>
  </si>
  <si>
    <t>Station House, 1st Floor, 3-5 Station Road</t>
  </si>
  <si>
    <t>M41 9JG</t>
  </si>
  <si>
    <t>SA Law LLP</t>
  </si>
  <si>
    <t>Gladstone Place, 36-38 Upper Marlborough Road</t>
  </si>
  <si>
    <t>AL1 3UU</t>
  </si>
  <si>
    <t>amanda.broome@salaw.com</t>
  </si>
  <si>
    <t>Neath Raisbeck Golding Law Limited</t>
  </si>
  <si>
    <t>St Brandon’s House, 27-29 Great George Street</t>
  </si>
  <si>
    <t>BS1 5QT</t>
  </si>
  <si>
    <t>sarah.turner@nrglaw.co.uk</t>
  </si>
  <si>
    <t>Gales Solicitors Limited</t>
  </si>
  <si>
    <t>512 Wimborne Road</t>
  </si>
  <si>
    <t>Winton</t>
  </si>
  <si>
    <t>BH9 2ET</t>
  </si>
  <si>
    <t>conveyancing@gales-solicitors.co.uk</t>
  </si>
  <si>
    <t>138-140 Tuckton Road</t>
  </si>
  <si>
    <t>Tuckton</t>
  </si>
  <si>
    <t>BH6 3JX</t>
  </si>
  <si>
    <t>mail@gales-solicitors.co.uk</t>
  </si>
  <si>
    <t>Waldrons Solicitors Ltd</t>
  </si>
  <si>
    <t>813 High Street</t>
  </si>
  <si>
    <t>Kingswinford</t>
  </si>
  <si>
    <t>DY6 8AD</t>
  </si>
  <si>
    <t>Emma.Bradbury@waldrons.co.uk</t>
  </si>
  <si>
    <t>Capstan House, The Waterfront</t>
  </si>
  <si>
    <t>Merry Hill</t>
  </si>
  <si>
    <t>DY5 1XL</t>
  </si>
  <si>
    <t>Dudley</t>
  </si>
  <si>
    <t>34 Dudley Court, The Inhedge</t>
  </si>
  <si>
    <t>DY1 1RR</t>
  </si>
  <si>
    <t>City Wells House, 26 Sidbury</t>
  </si>
  <si>
    <t>WR1 2HZ</t>
  </si>
  <si>
    <t>4th Floor, Townend House, Park Street</t>
  </si>
  <si>
    <t>WS1 1NS</t>
  </si>
  <si>
    <t>Harborne</t>
  </si>
  <si>
    <t>Grays Court, 11 High Street</t>
  </si>
  <si>
    <t>B17 9NT</t>
  </si>
  <si>
    <t>lawyers@nbbwaldrons.co.uk</t>
  </si>
  <si>
    <t>Harold Bell Infields &amp; Co</t>
  </si>
  <si>
    <t>Devon House, 174 Kingston Road</t>
  </si>
  <si>
    <t>Ewell,</t>
  </si>
  <si>
    <t>KT19 0SD</t>
  </si>
  <si>
    <t>mab@haroldbell.co.uk</t>
  </si>
  <si>
    <t>3-5 Old Bridge Street</t>
  </si>
  <si>
    <t>Hampton Wick</t>
  </si>
  <si>
    <t>Kingston upon Thames</t>
  </si>
  <si>
    <t>KT1 4BU</t>
  </si>
  <si>
    <t>karenh@infields.co.uk</t>
  </si>
  <si>
    <t>Wards Solicitors LLP</t>
  </si>
  <si>
    <t>Prudential Building</t>
  </si>
  <si>
    <t>Wine Street</t>
  </si>
  <si>
    <t>BS1 2PH</t>
  </si>
  <si>
    <t>Rebecca.Stuart@wards.uk.com</t>
  </si>
  <si>
    <t>19 West Walk</t>
  </si>
  <si>
    <t>Yate</t>
  </si>
  <si>
    <t>BS37 4AX</t>
  </si>
  <si>
    <t>Rebecca.stuart@wards.uk.com</t>
  </si>
  <si>
    <t>6-8 Fountain Court, New Leaze</t>
  </si>
  <si>
    <t>BS32 4LA</t>
  </si>
  <si>
    <t>bradley6@wards.uk.com</t>
  </si>
  <si>
    <t>Clevedon</t>
  </si>
  <si>
    <t>1-3 Alexandra Road</t>
  </si>
  <si>
    <t>North Somerset</t>
  </si>
  <si>
    <t>BS21 7QF</t>
  </si>
  <si>
    <t>clevedon@wards.uk.com</t>
  </si>
  <si>
    <t>Nailsea</t>
  </si>
  <si>
    <t>First Floor, The Sion, Crown Glass Place</t>
  </si>
  <si>
    <t>BS48 1RB</t>
  </si>
  <si>
    <t>nailsea@wards.uk.com</t>
  </si>
  <si>
    <t>2 Harbour Road</t>
  </si>
  <si>
    <t>BS20 7EL</t>
  </si>
  <si>
    <t>portishead@wards.uk.com</t>
  </si>
  <si>
    <t>Hynam Court, Eclipse Office Park, 20 High Street</t>
  </si>
  <si>
    <t>Staple Hill</t>
  </si>
  <si>
    <t>BS16 5EL</t>
  </si>
  <si>
    <t>staplehill@wards.uk.com</t>
  </si>
  <si>
    <t>Weston-super-Mare</t>
  </si>
  <si>
    <t>37 Boulevard</t>
  </si>
  <si>
    <t>BS23 1PE</t>
  </si>
  <si>
    <t>contactweston@wards.uk.com</t>
  </si>
  <si>
    <t>Worle</t>
  </si>
  <si>
    <t>168 High Street</t>
  </si>
  <si>
    <t>BS22 6JD</t>
  </si>
  <si>
    <t>worle@wards.uk.com</t>
  </si>
  <si>
    <t>Keynsham</t>
  </si>
  <si>
    <t>16 High Street</t>
  </si>
  <si>
    <t>BS31 1DJ</t>
  </si>
  <si>
    <t>keynsham@wards.uk.com</t>
  </si>
  <si>
    <t xml:space="preserve">51 Henleaze Road </t>
  </si>
  <si>
    <t>BS9 4JU</t>
  </si>
  <si>
    <t xml:space="preserve">tom.bowering@wards.uk.com     </t>
  </si>
  <si>
    <t>BS35 2AR</t>
  </si>
  <si>
    <t>199a Whiteladies Road</t>
  </si>
  <si>
    <t xml:space="preserve">Bristol </t>
  </si>
  <si>
    <t>rozanne.brink@wards.uk.com</t>
  </si>
  <si>
    <t xml:space="preserve">Kennan Doyle Solicitors Limited </t>
  </si>
  <si>
    <t>202 Stanley Road</t>
  </si>
  <si>
    <t>Bootle</t>
  </si>
  <si>
    <t>L20 3EN</t>
  </si>
  <si>
    <t>louise@kdsolicitors.co.uk</t>
  </si>
  <si>
    <t>24-26 Allerton Road</t>
  </si>
  <si>
    <t>Mossley Hill</t>
  </si>
  <si>
    <t>Mark Redler Solicitors Limited</t>
  </si>
  <si>
    <t>23 Greengate Street</t>
  </si>
  <si>
    <t>ST16 2HS</t>
  </si>
  <si>
    <t>jredler@markredler.co.uk</t>
  </si>
  <si>
    <t>Scott Richards</t>
  </si>
  <si>
    <t>Newfoundland House, 4 Regent Street</t>
  </si>
  <si>
    <t>Teignmouth</t>
  </si>
  <si>
    <t>TQ14 8SL</t>
  </si>
  <si>
    <t>law@scottrichards.co.uk</t>
  </si>
  <si>
    <t>Albany Street</t>
  </si>
  <si>
    <t>TQ12 2AN</t>
  </si>
  <si>
    <t>Ryan Property Law LLP</t>
  </si>
  <si>
    <t>1 Church Lane</t>
  </si>
  <si>
    <t>LS28 7LD</t>
  </si>
  <si>
    <t>neil.ryan@ryanpropertylaw.com</t>
  </si>
  <si>
    <t>Clarke Mairs Law Limited</t>
  </si>
  <si>
    <t>1 Hood Street</t>
  </si>
  <si>
    <t>NE1 6JQ</t>
  </si>
  <si>
    <t>ah@clarkemairs.com</t>
  </si>
  <si>
    <t>AST Hampsons LLP</t>
  </si>
  <si>
    <t>Unit B1</t>
  </si>
  <si>
    <t>Waterfold Park</t>
  </si>
  <si>
    <t>BL9 7BR</t>
  </si>
  <si>
    <t>bury@asthampsons.co.uk</t>
  </si>
  <si>
    <t>South Parade</t>
  </si>
  <si>
    <t>7 South Parade</t>
  </si>
  <si>
    <t>OL16 1LR</t>
  </si>
  <si>
    <t>info@asthampsons.co.uk</t>
  </si>
  <si>
    <t>Singletons Austin Ryder</t>
  </si>
  <si>
    <t>2 Crossfield Chambers, Gladbeck Way</t>
  </si>
  <si>
    <t>EN2 7HT</t>
  </si>
  <si>
    <t>robert.selwyn@singletonsuk.com</t>
  </si>
  <si>
    <t>Wragg Mark-Bell Solicitors Limited</t>
  </si>
  <si>
    <t>21 Castle Street</t>
  </si>
  <si>
    <t>CA3 8SY</t>
  </si>
  <si>
    <t>updates@wraggmarkbell.co.uk</t>
  </si>
  <si>
    <t>Randle Thomas LLP</t>
  </si>
  <si>
    <t>2 Wendron Street</t>
  </si>
  <si>
    <t>TR13 8PP</t>
  </si>
  <si>
    <t>joe@randlethomas.co.uk</t>
  </si>
  <si>
    <t>Milners</t>
  </si>
  <si>
    <t>Whitehall Waterfront, 2 Riverside Way</t>
  </si>
  <si>
    <t>LS1 4EH</t>
  </si>
  <si>
    <t>Gilly.storm@milnerslaw.com</t>
  </si>
  <si>
    <t>11A Princes Square</t>
  </si>
  <si>
    <t>HG1 1ND</t>
  </si>
  <si>
    <t>31 Houndgate</t>
  </si>
  <si>
    <t>DL1 5RH</t>
  </si>
  <si>
    <t>Versus Law Ltd</t>
  </si>
  <si>
    <t xml:space="preserve">Mercantile House, 10 Lapwing Lane </t>
  </si>
  <si>
    <t xml:space="preserve">Didsbury </t>
  </si>
  <si>
    <t>M20 2WS</t>
  </si>
  <si>
    <t>property@versuslaw.co.uk</t>
  </si>
  <si>
    <t>Kirkham Conveyancing Services Limited</t>
  </si>
  <si>
    <t>74 Rochdale Road</t>
  </si>
  <si>
    <t>Royton</t>
  </si>
  <si>
    <t>OL2 6QJ</t>
  </si>
  <si>
    <t>kathrynd@kirkham-legal.co.uk</t>
  </si>
  <si>
    <t>Underhill Langley &amp; Wright Limited</t>
  </si>
  <si>
    <t>7 Waterloo Road</t>
  </si>
  <si>
    <t>WV1 4DW</t>
  </si>
  <si>
    <t>stuarthodson@underhills.co.uk</t>
  </si>
  <si>
    <t>Bridgnorth</t>
  </si>
  <si>
    <t>St Leonards House, 9 St Leonards Close</t>
  </si>
  <si>
    <t>WV16 4EJ</t>
  </si>
  <si>
    <t>angussmillie@underhills.co.uk</t>
  </si>
  <si>
    <t>Wilsons Solicitors LLP</t>
  </si>
  <si>
    <t>Alexandra House, St Johns Street</t>
  </si>
  <si>
    <t>SP1 2SB</t>
  </si>
  <si>
    <t>Marion.Plumb@WilsonsLLP.com</t>
  </si>
  <si>
    <t>C W Booth &amp; Co</t>
  </si>
  <si>
    <t>5-7 Cockton Hill Road</t>
  </si>
  <si>
    <t>DL14 6EN</t>
  </si>
  <si>
    <t>samuel@cwbooth.co.uk</t>
  </si>
  <si>
    <t>Rowlinsons Solicitors Limited</t>
  </si>
  <si>
    <t>9 Church Street</t>
  </si>
  <si>
    <t>Frodsham</t>
  </si>
  <si>
    <t>WA6 7DN</t>
  </si>
  <si>
    <t>info@rowlinsons.co.uk</t>
  </si>
  <si>
    <t>Rowlinson House, Clifton Road</t>
  </si>
  <si>
    <t>Sutton Weaver</t>
  </si>
  <si>
    <t>Runcorn</t>
  </si>
  <si>
    <t>WA7 3LF</t>
  </si>
  <si>
    <t>Knutsford</t>
  </si>
  <si>
    <t>3 Royal Court, Tatton Street</t>
  </si>
  <si>
    <t>WA16 6EN</t>
  </si>
  <si>
    <t>O'Hara Solicitors Limited</t>
  </si>
  <si>
    <t>69-71 London Road</t>
  </si>
  <si>
    <t>PO7 7EX</t>
  </si>
  <si>
    <t>laura.ellis@oharasolicitors.co.uk</t>
  </si>
  <si>
    <t>Cartmell Shepherd Limited</t>
  </si>
  <si>
    <t>Viaduct House</t>
  </si>
  <si>
    <t>CA3 8EZ</t>
  </si>
  <si>
    <t>scott.garson@cartmells.co.uk</t>
  </si>
  <si>
    <t>Rosehill</t>
  </si>
  <si>
    <t>Montgomery Way</t>
  </si>
  <si>
    <t>CARLISLE</t>
  </si>
  <si>
    <t>CA1 2RW</t>
  </si>
  <si>
    <t>Bishop Yards</t>
  </si>
  <si>
    <t>PENRITH</t>
  </si>
  <si>
    <t>CA11 7XS</t>
  </si>
  <si>
    <t>Gill Place</t>
  </si>
  <si>
    <t>BRAMPTON</t>
  </si>
  <si>
    <t>CA8 1SQ</t>
  </si>
  <si>
    <t>Main Street</t>
  </si>
  <si>
    <t>HALTWHISTLE</t>
  </si>
  <si>
    <t>NE49 9AB</t>
  </si>
  <si>
    <t>4 Main Street</t>
  </si>
  <si>
    <t>CA13 9LQ</t>
  </si>
  <si>
    <t>Hexham</t>
  </si>
  <si>
    <t>Priestpopple House</t>
  </si>
  <si>
    <t>Priestpopple</t>
  </si>
  <si>
    <t>NE46 1PL</t>
  </si>
  <si>
    <t>Llewellyn-Jones Limited</t>
  </si>
  <si>
    <t>Birch House Business Centre</t>
  </si>
  <si>
    <t>Hen Lon Parcwr</t>
  </si>
  <si>
    <t>Ruthun</t>
  </si>
  <si>
    <t>LL15 1NA</t>
  </si>
  <si>
    <t>post@llew-jones.co.uk</t>
  </si>
  <si>
    <t>Grosvenor Street</t>
  </si>
  <si>
    <t>CH7 1EJ</t>
  </si>
  <si>
    <t>kathrynbarr@llew-jones.co.uk</t>
  </si>
  <si>
    <t>Foster Harrington Solicitors Limited</t>
  </si>
  <si>
    <t>22 Park Street</t>
  </si>
  <si>
    <t>GU15 3PL</t>
  </si>
  <si>
    <t>info@fosterharrington.co.uk</t>
  </si>
  <si>
    <t>Brooke House, High Street</t>
  </si>
  <si>
    <t>Bracknell</t>
  </si>
  <si>
    <t>RG12 1LL</t>
  </si>
  <si>
    <t>KT17 4QD</t>
  </si>
  <si>
    <t>Smith Sutcliffe</t>
  </si>
  <si>
    <t>50 Manchester Road</t>
  </si>
  <si>
    <t>BB11 1HJ</t>
  </si>
  <si>
    <t>paul.halstead@smith-sutcliffe.co.uk</t>
  </si>
  <si>
    <t>42 Burnley Road</t>
  </si>
  <si>
    <t>BB12 8BN</t>
  </si>
  <si>
    <t>padiham@smith-sutcliffe.co.uk</t>
  </si>
  <si>
    <t>Trueman's Solicitors Limited</t>
  </si>
  <si>
    <t>Eden House</t>
  </si>
  <si>
    <t>38 St. Aldates</t>
  </si>
  <si>
    <t>Oxford</t>
  </si>
  <si>
    <t>OX1 1BN</t>
  </si>
  <si>
    <t>kroachford@truemans.org.uk</t>
  </si>
  <si>
    <t>Duffield Harrison LLP</t>
  </si>
  <si>
    <t xml:space="preserve">Rathmore House, 56 High Street </t>
  </si>
  <si>
    <t xml:space="preserve">Hoddesdon </t>
  </si>
  <si>
    <t>EN11 8EX</t>
  </si>
  <si>
    <t>r.dewey@dhlaw.email</t>
  </si>
  <si>
    <t>32a St Andrew Street</t>
  </si>
  <si>
    <t>SG14 1JA</t>
  </si>
  <si>
    <t>l.rooke@dhlaw.email</t>
  </si>
  <si>
    <t>626a Hertford Road</t>
  </si>
  <si>
    <t>EN3 5TG</t>
  </si>
  <si>
    <t>k.court@dhlaw.email</t>
  </si>
  <si>
    <t>Vincent Solicitors</t>
  </si>
  <si>
    <t>Unit 16, Galaxy Building</t>
  </si>
  <si>
    <t>1-3 Uxbridge Road</t>
  </si>
  <si>
    <t>Hayes, London</t>
  </si>
  <si>
    <t>UB4 0JN</t>
  </si>
  <si>
    <t>info@vincentsolicitors.com</t>
  </si>
  <si>
    <t>Thomas Flavell &amp; Sons Limited</t>
  </si>
  <si>
    <t>Church Walk</t>
  </si>
  <si>
    <t>LE10 1DN</t>
  </si>
  <si>
    <t>cjs@thomasflavell.co.uk</t>
  </si>
  <si>
    <t>19 Waterloo Place</t>
  </si>
  <si>
    <t>Warwick Street</t>
  </si>
  <si>
    <t>CV32 5LA</t>
  </si>
  <si>
    <t>leamspa@thomasflavell.co.uk</t>
  </si>
  <si>
    <t>Alcocks Property Lawyers Limited</t>
  </si>
  <si>
    <t>70 Main Street</t>
  </si>
  <si>
    <t>Lambley</t>
  </si>
  <si>
    <t>NG4 4PP</t>
  </si>
  <si>
    <t>lcooper@alcocks-solicitors.co.uk</t>
  </si>
  <si>
    <t>Betesh Middleton Law Ltd</t>
  </si>
  <si>
    <t xml:space="preserve">134 Stockport Road </t>
  </si>
  <si>
    <t xml:space="preserve">Cheadle </t>
  </si>
  <si>
    <t>SK8 2DP</t>
  </si>
  <si>
    <t>sf@beteshmiddletonlaw.co.uk</t>
  </si>
  <si>
    <t>Heringtons LLP</t>
  </si>
  <si>
    <t>Bank Chambers, 80 High Street</t>
  </si>
  <si>
    <t>Rye</t>
  </si>
  <si>
    <t>TN31 7JR</t>
  </si>
  <si>
    <t>rosemarie.close@heringtons.com</t>
  </si>
  <si>
    <t>37-39 Gildredge Road</t>
  </si>
  <si>
    <t>BN21 4RX</t>
  </si>
  <si>
    <t>1 Upper Lake</t>
  </si>
  <si>
    <t>TN33 0AN</t>
  </si>
  <si>
    <t>19-21 Eversley Road</t>
  </si>
  <si>
    <t>TN40 1HA</t>
  </si>
  <si>
    <t>Mortimers Solicitors Limited</t>
  </si>
  <si>
    <t>65 Whitburn Street</t>
  </si>
  <si>
    <t>WV16 4QP</t>
  </si>
  <si>
    <t>rhian@mortimers-solicitors.co.uk</t>
  </si>
  <si>
    <t>41 Widemarsh Street</t>
  </si>
  <si>
    <t>HR4 9EA</t>
  </si>
  <si>
    <t>5 Nevill Street</t>
  </si>
  <si>
    <t>Commercial Chambers</t>
  </si>
  <si>
    <t>Blaina Road</t>
  </si>
  <si>
    <t>Brynmawr</t>
  </si>
  <si>
    <t>NP23 4PS</t>
  </si>
  <si>
    <t>Rhian@mortimers-solicitors.co.uk</t>
  </si>
  <si>
    <t>Fosters Solicitors LLP</t>
  </si>
  <si>
    <t xml:space="preserve">William House, 19 Bank Plain </t>
  </si>
  <si>
    <t>NR2 4FS</t>
  </si>
  <si>
    <t>szavanaiu@fosters-solicitors.co.uk</t>
  </si>
  <si>
    <t>Wymondham</t>
  </si>
  <si>
    <t>1 Middleton Street</t>
  </si>
  <si>
    <t>NR18 0AB</t>
  </si>
  <si>
    <t>Scores House, 14 Regent Road</t>
  </si>
  <si>
    <t>NR32 1PB</t>
  </si>
  <si>
    <t>lowestoft@fosters-solicitors.co.uk</t>
  </si>
  <si>
    <t>Steele Raymond LLP</t>
  </si>
  <si>
    <t>Richmond Point, 43 Richmond Hill</t>
  </si>
  <si>
    <t>BH2 6LR</t>
  </si>
  <si>
    <t>timhigham@steeleraymond.co.uk</t>
  </si>
  <si>
    <t>Avon House, Bridge Street</t>
  </si>
  <si>
    <t>BH23 1DX</t>
  </si>
  <si>
    <t>mail@steeleraymond.co.uk</t>
  </si>
  <si>
    <t>Martin Gaffney Legal Services Limited</t>
  </si>
  <si>
    <t>The Old Bank, 51 Commercial Street</t>
  </si>
  <si>
    <t>Rothwell</t>
  </si>
  <si>
    <t>LS26 0AN</t>
  </si>
  <si>
    <t>michelle@martingaffneysolicitors.co.uk</t>
  </si>
  <si>
    <t>Crescent Chambers, 18a Leeds Road</t>
  </si>
  <si>
    <t>LS29 8DJ</t>
  </si>
  <si>
    <t>mgsolicitorsilkley@gmail.com</t>
  </si>
  <si>
    <t>72 Gowthorpe</t>
  </si>
  <si>
    <t>Selby</t>
  </si>
  <si>
    <t>YO8 4ET</t>
  </si>
  <si>
    <t>mail@martingaffneysolicitors.co.uk</t>
  </si>
  <si>
    <t>Bates Wells &amp; Braithwaite Limited</t>
  </si>
  <si>
    <t>27 Friars Street</t>
  </si>
  <si>
    <t>SUDBURY</t>
  </si>
  <si>
    <t>CO10 2AD</t>
  </si>
  <si>
    <t>MonikaSargeant@bwblegal.com</t>
  </si>
  <si>
    <t>Frisby &amp; Small LLP</t>
  </si>
  <si>
    <t>5 De Montfort Street</t>
  </si>
  <si>
    <t>LEICESTER</t>
  </si>
  <si>
    <t>LE1 7GE</t>
  </si>
  <si>
    <t>jcrowson@frisbysmall.co.uk</t>
  </si>
  <si>
    <t>72a-72b Main Street</t>
  </si>
  <si>
    <t>Broughton Astley</t>
  </si>
  <si>
    <t>LE9 6RD</t>
  </si>
  <si>
    <t>ba@frisbysmall.co.uk</t>
  </si>
  <si>
    <t>Holbrook &amp; Company Property Law Limited</t>
  </si>
  <si>
    <t>7 Palmyra Square South</t>
  </si>
  <si>
    <t>WA1 1BL</t>
  </si>
  <si>
    <t>markpotter@holbrookandco.com</t>
  </si>
  <si>
    <t>Progression Solicitors Limited</t>
  </si>
  <si>
    <t xml:space="preserve">Ulverston </t>
  </si>
  <si>
    <t>LA12 7AF</t>
  </si>
  <si>
    <t>Martine.Rogerson@progressionsolicitors.com</t>
  </si>
  <si>
    <t>5 Crescent Road</t>
  </si>
  <si>
    <t>LA23 1EA</t>
  </si>
  <si>
    <t>Parish Hall, Kents Bank Road</t>
  </si>
  <si>
    <t>Grange over Sands</t>
  </si>
  <si>
    <t xml:space="preserve">Cumbria </t>
  </si>
  <si>
    <t>LA11 7EY</t>
  </si>
  <si>
    <t>114 Duke Street</t>
  </si>
  <si>
    <t>LA14 1LW</t>
  </si>
  <si>
    <t>5 Thurnham Street</t>
  </si>
  <si>
    <t>LA1 1XU</t>
  </si>
  <si>
    <t>Apex ABS Limited</t>
  </si>
  <si>
    <t>3 The Pantiles</t>
  </si>
  <si>
    <t>Bexleyheath</t>
  </si>
  <si>
    <t>DA7 5HH</t>
  </si>
  <si>
    <t>ismail@apexlaw.co.uk</t>
  </si>
  <si>
    <t>87 High Street, 1st Floor</t>
  </si>
  <si>
    <t>ME8 7HS</t>
  </si>
  <si>
    <t>Crayford</t>
  </si>
  <si>
    <t>8 The Parade, Crayford Way</t>
  </si>
  <si>
    <t>DA1 4JA</t>
  </si>
  <si>
    <t>Roundhead Suite, The Barracks Business Centre</t>
  </si>
  <si>
    <t>Wakefield Road</t>
  </si>
  <si>
    <t>WF8 4HH</t>
  </si>
  <si>
    <t>Bolt Burdon LLP</t>
  </si>
  <si>
    <t>Providence House, Providence Place</t>
  </si>
  <si>
    <t>N1 0NT</t>
  </si>
  <si>
    <t>compliance@boltburdon.co.uk</t>
  </si>
  <si>
    <t>Fonseca Solicitors Ltd</t>
  </si>
  <si>
    <t>St Mary's Chambers, Monk Street</t>
  </si>
  <si>
    <t>NP7 5ND</t>
  </si>
  <si>
    <t>Emma@fonsecasolicitors.co.uk</t>
  </si>
  <si>
    <t>Butcher and Barlow LLP</t>
  </si>
  <si>
    <t>2 -8 Bank Street</t>
  </si>
  <si>
    <t>BL9 0DL</t>
  </si>
  <si>
    <t>lstuchfield@butcher-barlow.co.uk</t>
  </si>
  <si>
    <t>31 Middlewich Road</t>
  </si>
  <si>
    <t>CW11 1HW</t>
  </si>
  <si>
    <t>34 Railway Road</t>
  </si>
  <si>
    <t>WN7 4AU</t>
  </si>
  <si>
    <t>Dane Bridge Chambers, 3-5 London Road</t>
  </si>
  <si>
    <t>CW9 5EY</t>
  </si>
  <si>
    <t>66 High Street</t>
  </si>
  <si>
    <t>WA7 1AW</t>
  </si>
  <si>
    <t>Bramhall</t>
  </si>
  <si>
    <t>205 Moss Lane</t>
  </si>
  <si>
    <t>SK7 1BA</t>
  </si>
  <si>
    <t>Tyldesley</t>
  </si>
  <si>
    <t>132 Elliott Street</t>
  </si>
  <si>
    <t>M29 8FJ</t>
  </si>
  <si>
    <t>6 Church Street</t>
  </si>
  <si>
    <t>WA6 7EB</t>
  </si>
  <si>
    <t>Rudheath,</t>
  </si>
  <si>
    <t>3 Royal Mews, Gadbrook Park,</t>
  </si>
  <si>
    <t>CW9 7UD</t>
  </si>
  <si>
    <t>Michael Hill Partnership</t>
  </si>
  <si>
    <t>Top Hat Terrace, 119 London Road</t>
  </si>
  <si>
    <t>LE2 0QT</t>
  </si>
  <si>
    <t>kd@michaelhill.co.uk</t>
  </si>
  <si>
    <t>Evan House, Unit 7</t>
  </si>
  <si>
    <t>Sutton Quays Business Park, Clifton Road</t>
  </si>
  <si>
    <t>Sutton Weaver , Runcorn</t>
  </si>
  <si>
    <t>WA7 3EH</t>
  </si>
  <si>
    <t>enquiries@butcher-barlow.co.uk</t>
  </si>
  <si>
    <t>44 Church Street</t>
  </si>
  <si>
    <t>WN7 1AZ</t>
  </si>
  <si>
    <t>Island Reach</t>
  </si>
  <si>
    <t>Festival Way</t>
  </si>
  <si>
    <t xml:space="preserve">Stoke on Trent </t>
  </si>
  <si>
    <t>ST1 5BJ</t>
  </si>
  <si>
    <t>Sayer Moore LLP</t>
  </si>
  <si>
    <t>190 Horn Lane</t>
  </si>
  <si>
    <t>Acton</t>
  </si>
  <si>
    <t>W3 6PL</t>
  </si>
  <si>
    <t>sr@sayermoore.co.uk</t>
  </si>
  <si>
    <t>Blakewater Solicitors Limited</t>
  </si>
  <si>
    <t>3 Richmond Terrace</t>
  </si>
  <si>
    <t>BB1 7AT</t>
  </si>
  <si>
    <t>na@blakewatercertus.com</t>
  </si>
  <si>
    <t>33 Manor Row</t>
  </si>
  <si>
    <t>BD1 4PS</t>
  </si>
  <si>
    <t>Earl and Crocker Limited</t>
  </si>
  <si>
    <t>6 West Street</t>
  </si>
  <si>
    <t>Liskeard</t>
  </si>
  <si>
    <t>PL14 6BW</t>
  </si>
  <si>
    <t>anthony@earlandcrocker.co.uk</t>
  </si>
  <si>
    <t>Market House, Higher Market Street</t>
  </si>
  <si>
    <t>Looe</t>
  </si>
  <si>
    <t>PL13 1BP</t>
  </si>
  <si>
    <t>enquiries@earlandcrocker.co.uk</t>
  </si>
  <si>
    <t>40 Fore Street</t>
  </si>
  <si>
    <t xml:space="preserve">Callington </t>
  </si>
  <si>
    <t>PL17 7AQ</t>
  </si>
  <si>
    <t>Nicholls Solicitors Limited</t>
  </si>
  <si>
    <t xml:space="preserve">Mayfield Chambers, 228a Stockport Road, </t>
  </si>
  <si>
    <t>Timperley</t>
  </si>
  <si>
    <t>WA15 7UN</t>
  </si>
  <si>
    <t>sarah.birdsey@nichollssolicitors.com</t>
  </si>
  <si>
    <t>ACS Solicitors</t>
  </si>
  <si>
    <t>10 High Street</t>
  </si>
  <si>
    <t>Bromborourgh</t>
  </si>
  <si>
    <t>WIRRAL</t>
  </si>
  <si>
    <t>CH62 7HA</t>
  </si>
  <si>
    <t>susanwilson@acssolicitors.co.uk</t>
  </si>
  <si>
    <t>Cross Solicitors LLP</t>
  </si>
  <si>
    <t>Connah's Quay</t>
  </si>
  <si>
    <t>CH5 4DA</t>
  </si>
  <si>
    <t>brc@cross-solicitors.co.uk</t>
  </si>
  <si>
    <t>Donald Race and Newton Solicitors Limited</t>
  </si>
  <si>
    <t>5-7 Hargreaves Street</t>
  </si>
  <si>
    <t>BB11 1EA</t>
  </si>
  <si>
    <t>sma@drnlaw.co.uk</t>
  </si>
  <si>
    <t>57 - 59 Albert Road</t>
  </si>
  <si>
    <t>Colne</t>
  </si>
  <si>
    <t>BB8 0BP</t>
  </si>
  <si>
    <t>info@drnlaw.co.uk</t>
  </si>
  <si>
    <t>Dixon Stewart LLP</t>
  </si>
  <si>
    <t>72 STATION ROAD</t>
  </si>
  <si>
    <t>NEW MILTON</t>
  </si>
  <si>
    <t>BH25 6LF</t>
  </si>
  <si>
    <t>sarahd@dixonstewart.com</t>
  </si>
  <si>
    <t>HIGHCLIFFE</t>
  </si>
  <si>
    <t>372 LYMINGTON ROAD</t>
  </si>
  <si>
    <t>BH23 5HB</t>
  </si>
  <si>
    <t>Pearson Solicitors and Financial Advisers Ltd</t>
  </si>
  <si>
    <t>31 Queen Street</t>
  </si>
  <si>
    <t>OL1 1RD</t>
  </si>
  <si>
    <t>Victoria.Marshall@pearsonlegal.co.uk</t>
  </si>
  <si>
    <t>Hollinwood Business Centre, Albert Street</t>
  </si>
  <si>
    <t>Hollinwood</t>
  </si>
  <si>
    <t>OL8 3QL</t>
  </si>
  <si>
    <t>Samuels Solicitors LLP</t>
  </si>
  <si>
    <t xml:space="preserve">18 Alexandra Road </t>
  </si>
  <si>
    <t>EX32 8BA</t>
  </si>
  <si>
    <t>lma@samuels-solicitors.co.uk</t>
  </si>
  <si>
    <t>UNIT 1 ORCHARD INDUSTRIAL ESTATE SOUTH</t>
  </si>
  <si>
    <t>LOWER UNION ROAD</t>
  </si>
  <si>
    <t>TQ7 1EG</t>
  </si>
  <si>
    <t>mail@samuels-solicitors.co.uk</t>
  </si>
  <si>
    <t>116 Quayside</t>
  </si>
  <si>
    <t>NE1 3DY</t>
  </si>
  <si>
    <t>Barrett Nelligan Solicitors Limited</t>
  </si>
  <si>
    <t>50 Adelaide Street</t>
  </si>
  <si>
    <t>FY7 6EE</t>
  </si>
  <si>
    <t>simon@barrettandnelligan.co.uk</t>
  </si>
  <si>
    <t>Harrison Drury and Co Limited</t>
  </si>
  <si>
    <t>1a Chapel Street</t>
  </si>
  <si>
    <t>Winckley Square</t>
  </si>
  <si>
    <t>PR1 8BU</t>
  </si>
  <si>
    <t>victoria.mccann@harrison-drury.com</t>
  </si>
  <si>
    <t>Garstang</t>
  </si>
  <si>
    <t>Cherestanc Square</t>
  </si>
  <si>
    <t>PR3 1EF</t>
  </si>
  <si>
    <t>enquiries@harrison-drury.com</t>
  </si>
  <si>
    <t xml:space="preserve">Bridge Mills, </t>
  </si>
  <si>
    <t>Stramongate</t>
  </si>
  <si>
    <t>LA9 4BD</t>
  </si>
  <si>
    <t>76 Church Street</t>
  </si>
  <si>
    <t>LA1 1ET</t>
  </si>
  <si>
    <t>Wade House, 2 Church Brow</t>
  </si>
  <si>
    <t>BB7 2AA</t>
  </si>
  <si>
    <t>Jackie.reid@harrison-drury.com</t>
  </si>
  <si>
    <t>Lytham</t>
  </si>
  <si>
    <t>Assembly Rooms</t>
  </si>
  <si>
    <t>Dicconson Terrace, First Floor,</t>
  </si>
  <si>
    <t>FY8 5JY</t>
  </si>
  <si>
    <t>Victoria.mccann@harrison-drury.com</t>
  </si>
  <si>
    <t>5th Floor, Corner Block</t>
  </si>
  <si>
    <t>11 Quay Street</t>
  </si>
  <si>
    <t>M3 3HN</t>
  </si>
  <si>
    <t>David Barney &amp; Company LLP</t>
  </si>
  <si>
    <t>Stevendale House, Primett Road</t>
  </si>
  <si>
    <t>SG1 3EE</t>
  </si>
  <si>
    <t>beverlydavison@davidbarney.co.uk</t>
  </si>
  <si>
    <t>Knights Professional Services Limited</t>
  </si>
  <si>
    <t>The Brampton</t>
  </si>
  <si>
    <t>Newcastle-under-Lyme</t>
  </si>
  <si>
    <t>ST5 0QW</t>
  </si>
  <si>
    <t>residentialpropertyteam@knightsplc.com</t>
  </si>
  <si>
    <t>3rd Floor, HQ Offices 58 Nicholas Street</t>
  </si>
  <si>
    <t>CH1 2NP</t>
  </si>
  <si>
    <t>Riverside Court</t>
  </si>
  <si>
    <t>Bollin Walk</t>
  </si>
  <si>
    <t>SK9 1DL</t>
  </si>
  <si>
    <t>Midland House, West Way</t>
  </si>
  <si>
    <t>Botley</t>
  </si>
  <si>
    <t>OX2 0PH</t>
  </si>
  <si>
    <t>Festival House</t>
  </si>
  <si>
    <t>Jessop Avenue</t>
  </si>
  <si>
    <t xml:space="preserve">Cheltenham </t>
  </si>
  <si>
    <t xml:space="preserve">Gloucestershire </t>
  </si>
  <si>
    <t>GL50 3SH</t>
  </si>
  <si>
    <t>2 Colton Square</t>
  </si>
  <si>
    <t>LE1 1QH</t>
  </si>
  <si>
    <t>Victoria, Hudson Quarter</t>
  </si>
  <si>
    <t>Toft Green</t>
  </si>
  <si>
    <t>YO1 6AB</t>
  </si>
  <si>
    <t>2 St Peter's Square</t>
  </si>
  <si>
    <t>M2 3AA</t>
  </si>
  <si>
    <t>2 Chamberlain Square</t>
  </si>
  <si>
    <t>B3 3AX</t>
  </si>
  <si>
    <t>Waterfront House, 35 Station Street</t>
  </si>
  <si>
    <t>NG2 3DQ</t>
  </si>
  <si>
    <t>42 Kings Hill Avenue</t>
  </si>
  <si>
    <t>West Malling</t>
  </si>
  <si>
    <t>Kings Hill</t>
  </si>
  <si>
    <t>ME19 4AJ</t>
  </si>
  <si>
    <t>Broadwalk House</t>
  </si>
  <si>
    <t>Southernhay West</t>
  </si>
  <si>
    <t>EX1 1TS</t>
  </si>
  <si>
    <t>400 Dashwood Lang Road</t>
  </si>
  <si>
    <t>KT15 2HJ</t>
  </si>
  <si>
    <t>St. Pauls Place, 121 Norfolk Street</t>
  </si>
  <si>
    <t>S1 2JF</t>
  </si>
  <si>
    <t>Majestic, City Square</t>
  </si>
  <si>
    <t>LS1 2EF</t>
  </si>
  <si>
    <t>Lakeside House, Kingfisher Way</t>
  </si>
  <si>
    <t>TS18 3NB</t>
  </si>
  <si>
    <t>Building 1000</t>
  </si>
  <si>
    <t>Lakeside North Harbour</t>
  </si>
  <si>
    <t>Western Road</t>
  </si>
  <si>
    <t>PO6 3EN</t>
  </si>
  <si>
    <t>Geldards LLP</t>
  </si>
  <si>
    <t>Cubo Standard Court, Park Row</t>
  </si>
  <si>
    <t>NG1 6GN</t>
  </si>
  <si>
    <t>info@geldards.com</t>
  </si>
  <si>
    <t>4 Capital Quarter</t>
  </si>
  <si>
    <t>Tyndall Street</t>
  </si>
  <si>
    <t>CF10 4BZ</t>
  </si>
  <si>
    <t>1 Pride Place, Pride Park</t>
  </si>
  <si>
    <t>Derbyshire,</t>
  </si>
  <si>
    <t>DE24 8QR</t>
  </si>
  <si>
    <t>richard.hadrill@geldards.com</t>
  </si>
  <si>
    <t>3 Neptune Square</t>
  </si>
  <si>
    <t>BN2 0AT</t>
  </si>
  <si>
    <t>E Q, 111 Victoria St</t>
  </si>
  <si>
    <t>Redcliffe</t>
  </si>
  <si>
    <t>2 Merchants Drive</t>
  </si>
  <si>
    <t>Parkhouse</t>
  </si>
  <si>
    <t>CA3 0JW</t>
  </si>
  <si>
    <t>Bank House, Pilgrim Street</t>
  </si>
  <si>
    <t>NE1 6QF</t>
  </si>
  <si>
    <t>9 The Courtyard, 707 Warwick Road</t>
  </si>
  <si>
    <t>1 Kings Court Business Park</t>
  </si>
  <si>
    <t>WR5 1JR</t>
  </si>
  <si>
    <t>Beaconsfield</t>
  </si>
  <si>
    <t>The Great Barn, Burnham Road</t>
  </si>
  <si>
    <t>HP9 2SF</t>
  </si>
  <si>
    <t>The Blade, Abbey Square</t>
  </si>
  <si>
    <t>RG1 3BE</t>
  </si>
  <si>
    <t>Belmont House, Belmont Road</t>
  </si>
  <si>
    <t>UB8 1HE</t>
  </si>
  <si>
    <t>Hyatt Place, 50-60 Broomfield Road</t>
  </si>
  <si>
    <t>CM1 1SW</t>
  </si>
  <si>
    <t>1 Amphora Place, Sheepen Road</t>
  </si>
  <si>
    <t>CO3 3WG</t>
  </si>
  <si>
    <t>Brunel House, 2 Fitzalan Rd</t>
  </si>
  <si>
    <t>CF24 0EB</t>
  </si>
  <si>
    <t>Hunton &amp; Garget (N Yorks) Limited</t>
  </si>
  <si>
    <t>Burgage House, 1 Millgate</t>
  </si>
  <si>
    <t>DL10 4JL</t>
  </si>
  <si>
    <t>lp@huntonandgarget.co.uk</t>
  </si>
  <si>
    <t>52 Richmond Road</t>
  </si>
  <si>
    <t>Catterick Garrison</t>
  </si>
  <si>
    <t>DL9 3JF</t>
  </si>
  <si>
    <t>law@huntonandgarget.co.uk</t>
  </si>
  <si>
    <t>Garnett Wilson Conveyancing Services LLP</t>
  </si>
  <si>
    <t>Cumberland House, 24 Baxter Avenue</t>
  </si>
  <si>
    <t>Southend on Sea</t>
  </si>
  <si>
    <t>SS2 6HZ</t>
  </si>
  <si>
    <t>info@garnettwilson.co.uk</t>
  </si>
  <si>
    <t>Roland Robinsons and Fentons LLP</t>
  </si>
  <si>
    <t>85-89 Adelaide Street</t>
  </si>
  <si>
    <t>FY1 4LX</t>
  </si>
  <si>
    <t>lb@rrfsolicitors.com</t>
  </si>
  <si>
    <t>LYTHAM</t>
  </si>
  <si>
    <t>4 CHURCH ROAD</t>
  </si>
  <si>
    <t>LYTHAM ST ANNES</t>
  </si>
  <si>
    <t>LANCASHIRE</t>
  </si>
  <si>
    <t>FY8 5LH</t>
  </si>
  <si>
    <t>Blain Boland &amp; Thomas Limited</t>
  </si>
  <si>
    <t>100 Whitby Road</t>
  </si>
  <si>
    <t>Ellesmere Port</t>
  </si>
  <si>
    <t>CH65 0AB</t>
  </si>
  <si>
    <t>jessica.man@blainboland.co.uk</t>
  </si>
  <si>
    <t xml:space="preserve"> 74 Wheelock Street</t>
  </si>
  <si>
    <t>Middlewich</t>
  </si>
  <si>
    <t>CW10 9AB</t>
  </si>
  <si>
    <t>jill.shields@blainboland.co.uk</t>
  </si>
  <si>
    <t>Gomer Williams and Co. Ltd.</t>
  </si>
  <si>
    <t>19 John Street</t>
  </si>
  <si>
    <t>Dyfed,</t>
  </si>
  <si>
    <t>SA15 1UP</t>
  </si>
  <si>
    <t>j.phillips-james@gomerwilliams.co.uk</t>
  </si>
  <si>
    <t>23 Murray Street</t>
  </si>
  <si>
    <t xml:space="preserve">Carmarthenshire </t>
  </si>
  <si>
    <t>Cockett</t>
  </si>
  <si>
    <t>Unit 5, 270 Cockett Road</t>
  </si>
  <si>
    <t>SA2 0FN</t>
  </si>
  <si>
    <t>J.phillips-james@gomerwilliamsco.uk</t>
  </si>
  <si>
    <t>5 Stryd Y Coleg</t>
  </si>
  <si>
    <t>Rhydaman</t>
  </si>
  <si>
    <t>SA18 3AB</t>
  </si>
  <si>
    <t>contactus@gomerwilliams.co.uk</t>
  </si>
  <si>
    <t>Lee Chadwick Solicitors LLP</t>
  </si>
  <si>
    <t>14 Market Square</t>
  </si>
  <si>
    <t>OX28 6BE</t>
  </si>
  <si>
    <t>kr@lee-chadwick.co.uk</t>
  </si>
  <si>
    <t>Carterton</t>
  </si>
  <si>
    <t>5 The Clock House, Brize Norton Road</t>
  </si>
  <si>
    <t>OX18 3HN</t>
  </si>
  <si>
    <t>reception@lee-chadwick.co.uk</t>
  </si>
  <si>
    <t>29A Market Square</t>
  </si>
  <si>
    <t>OX26 6AG</t>
  </si>
  <si>
    <t>Bicester@lee-chadwick.co.uk</t>
  </si>
  <si>
    <t>Winder Taylor Smith</t>
  </si>
  <si>
    <t>138 Bolton Road West</t>
  </si>
  <si>
    <t>Ramsbottom</t>
  </si>
  <si>
    <t>BL0 9PD</t>
  </si>
  <si>
    <t>HelenG@windertaylor.co.uk</t>
  </si>
  <si>
    <t>Designa House</t>
  </si>
  <si>
    <t>569 Chorley Old Road</t>
  </si>
  <si>
    <t>BL1 6BL</t>
  </si>
  <si>
    <t>139 Church Street</t>
  </si>
  <si>
    <t>BL6 7BR</t>
  </si>
  <si>
    <t>Harley house, 568 Chorley Old Road,</t>
  </si>
  <si>
    <t>BL1 6AB</t>
  </si>
  <si>
    <t>Vincent Sykes Solicitors LLP</t>
  </si>
  <si>
    <t>4 West Street</t>
  </si>
  <si>
    <t>PE8 4EF</t>
  </si>
  <si>
    <t>chris@vincentsykes.co.uk</t>
  </si>
  <si>
    <t>10 Grappenhall Road</t>
  </si>
  <si>
    <t>WA4 2AG</t>
  </si>
  <si>
    <t>enquiries@vincentsykes.co.uk</t>
  </si>
  <si>
    <t>Station House, Stamford New Road</t>
  </si>
  <si>
    <t>WA14 1EP</t>
  </si>
  <si>
    <t xml:space="preserve">enquiries@vincentsykes.co.uk </t>
  </si>
  <si>
    <t>Bookers and Bolton</t>
  </si>
  <si>
    <t>Abbeyfield House</t>
  </si>
  <si>
    <t>88 Normandy Street</t>
  </si>
  <si>
    <t>GU34 1DH</t>
  </si>
  <si>
    <t>gideon.cristofoli@bookersandbolton.co.uk</t>
  </si>
  <si>
    <t>Michelle O'Shea &amp; Co Limited</t>
  </si>
  <si>
    <t>1A EXCHANGE ROAD</t>
  </si>
  <si>
    <t>WEST BRIDGFORD</t>
  </si>
  <si>
    <t>NOTTINGHAMSHIRE</t>
  </si>
  <si>
    <t>NG2 6BX</t>
  </si>
  <si>
    <t>westbridgford@michelleoshea.co.uk</t>
  </si>
  <si>
    <t>Thompson Allen LLP</t>
  </si>
  <si>
    <t>Refuge House, Second Floor South</t>
  </si>
  <si>
    <t>49-50 North Street</t>
  </si>
  <si>
    <t xml:space="preserve">Brighton </t>
  </si>
  <si>
    <t>BN1 1RH</t>
  </si>
  <si>
    <t>mark.allen@thompsonallen.co.uk</t>
  </si>
  <si>
    <t xml:space="preserve">Bennetts Legal Services Ltd </t>
  </si>
  <si>
    <t>37 Market Place</t>
  </si>
  <si>
    <t>SK10 1DY</t>
  </si>
  <si>
    <t>jane@bennettssolicitors.co.uk</t>
  </si>
  <si>
    <t>Courtney Smith Solicitors LLP</t>
  </si>
  <si>
    <t>4 Village Way East</t>
  </si>
  <si>
    <t>HA2 7LU</t>
  </si>
  <si>
    <t>sumith@courtneysmithsolicitors.com</t>
  </si>
  <si>
    <t>Brethertons LLP</t>
  </si>
  <si>
    <t>Montague House, 2 Clifton Road</t>
  </si>
  <si>
    <t>CV21 3PX</t>
  </si>
  <si>
    <t>johnshackleton@brethertons.co.uk</t>
  </si>
  <si>
    <t>Bloxham Mill, Barford Road</t>
  </si>
  <si>
    <t>Bloxham</t>
  </si>
  <si>
    <t>OX15 4FF</t>
  </si>
  <si>
    <t>info@brethertons.co.uk</t>
  </si>
  <si>
    <t>Franklins House</t>
  </si>
  <si>
    <t>Manorsfield Road</t>
  </si>
  <si>
    <t>OX26 6EX</t>
  </si>
  <si>
    <t>conveyancing@brethertons.co.uk</t>
  </si>
  <si>
    <t>Soverign House, Bayshill Road</t>
  </si>
  <si>
    <t>GL50 3BA</t>
  </si>
  <si>
    <t>Coodes LLP</t>
  </si>
  <si>
    <t>St Austell Business Park</t>
  </si>
  <si>
    <t>Carclaze</t>
  </si>
  <si>
    <t>PL25 4FD</t>
  </si>
  <si>
    <t>sarah.cowley@coodes.co.uk</t>
  </si>
  <si>
    <t xml:space="preserve">Truro </t>
  </si>
  <si>
    <t xml:space="preserve">Elizabeth House, Castle Street </t>
  </si>
  <si>
    <t>TR1 3AP</t>
  </si>
  <si>
    <t>Unit 1 &amp; 3 Mor Workspace</t>
  </si>
  <si>
    <t>Treloggan Lane</t>
  </si>
  <si>
    <t>TR7 2FP</t>
  </si>
  <si>
    <t>Offices 11 &amp; 12, The Workshed</t>
  </si>
  <si>
    <t>Liskeard Cattle Market, Fairpark Road</t>
  </si>
  <si>
    <t>PL14 4BA</t>
  </si>
  <si>
    <t>Launceston</t>
  </si>
  <si>
    <t>8 Race Hill</t>
  </si>
  <si>
    <t>PL15 9BA</t>
  </si>
  <si>
    <t>49-50 Morrab Road</t>
  </si>
  <si>
    <t>TR18 4EX</t>
  </si>
  <si>
    <t>Holsworthy</t>
  </si>
  <si>
    <t>4 Bodmin Street</t>
  </si>
  <si>
    <t>EX22 6BB</t>
  </si>
  <si>
    <t>6B Gwella House, Falmouth Business Park</t>
  </si>
  <si>
    <t>TR11 4SZ</t>
  </si>
  <si>
    <t>Nantes Solicitors Ltd</t>
  </si>
  <si>
    <t>36 East Street</t>
  </si>
  <si>
    <t>DT6 3LH</t>
  </si>
  <si>
    <t>jana.randall@nantes.co.uk</t>
  </si>
  <si>
    <t>69 The Esplanade</t>
  </si>
  <si>
    <t>DT4 7AA</t>
  </si>
  <si>
    <t xml:space="preserve">jana.randall@nantes.co.uk </t>
  </si>
  <si>
    <t>1 Poundbury West Industrial Estate</t>
  </si>
  <si>
    <t>DT1 2PG</t>
  </si>
  <si>
    <t>Markand &amp; Co Solicitors LLP</t>
  </si>
  <si>
    <t>6-8 Woodford Road</t>
  </si>
  <si>
    <t>Forest Gate</t>
  </si>
  <si>
    <t>E7 0HA</t>
  </si>
  <si>
    <t>gsbhaker@markandsolicitors.co.uk</t>
  </si>
  <si>
    <t>Brightstone Law LLP</t>
  </si>
  <si>
    <t>Brightstone House</t>
  </si>
  <si>
    <t>511 Centennial Park</t>
  </si>
  <si>
    <t>Centennial Avenue</t>
  </si>
  <si>
    <t>Elstree, Hertfordshire</t>
  </si>
  <si>
    <t>WD6 3FG</t>
  </si>
  <si>
    <t>mr@brightstonelaw.co.uk</t>
  </si>
  <si>
    <t>Kitson &amp; Trotman LLP</t>
  </si>
  <si>
    <t>The Champions</t>
  </si>
  <si>
    <t>Beaminster</t>
  </si>
  <si>
    <t>DT8 3AN</t>
  </si>
  <si>
    <t>jhodnett@ktlaw.co.uk</t>
  </si>
  <si>
    <t>Lyme Regis</t>
  </si>
  <si>
    <t>57/58 Broad Street</t>
  </si>
  <si>
    <t>DT7 3QF</t>
  </si>
  <si>
    <t>lymeregis@ktlaw.co.uk</t>
  </si>
  <si>
    <t>9 Chancery Lane</t>
  </si>
  <si>
    <t>DT6 3PX</t>
  </si>
  <si>
    <t>bridport@ktlaw.co.uk</t>
  </si>
  <si>
    <t>Office E9, Lynch Lane Offices</t>
  </si>
  <si>
    <t>DT4 9ND</t>
  </si>
  <si>
    <t>weymouth@ktlaw.co.uk</t>
  </si>
  <si>
    <t>Rollasons Solicitors LLP</t>
  </si>
  <si>
    <t>Scully House, 9 New Street</t>
  </si>
  <si>
    <t>Daventry</t>
  </si>
  <si>
    <t>NN11 4BT</t>
  </si>
  <si>
    <t>kvara@rollasons.com</t>
  </si>
  <si>
    <t>7 Clarendon Place</t>
  </si>
  <si>
    <t xml:space="preserve">Warwickshire </t>
  </si>
  <si>
    <t>CV32 5QL</t>
  </si>
  <si>
    <t>KVara@rollasons.com</t>
  </si>
  <si>
    <t>2b Station Road</t>
  </si>
  <si>
    <t>Walker Solicitors Limited</t>
  </si>
  <si>
    <t>209-212 Stafford Street</t>
  </si>
  <si>
    <t>WS2 8DW</t>
  </si>
  <si>
    <t>rt@walkersolicitors.com</t>
  </si>
  <si>
    <t>Kuit Steinart Levy LLP</t>
  </si>
  <si>
    <t>Kuits, 7th Floor, Blackfriars House</t>
  </si>
  <si>
    <t>Parsonage</t>
  </si>
  <si>
    <t>M3 2JA</t>
  </si>
  <si>
    <t>info@kuits.com</t>
  </si>
  <si>
    <t>Andrew Jacobs Conveyancing Limited</t>
  </si>
  <si>
    <t>2 Betts Avenue</t>
  </si>
  <si>
    <t>Martlesham Heath</t>
  </si>
  <si>
    <t>IP5 3RH</t>
  </si>
  <si>
    <t>lauren.russell@ajconveyancing.co.uk</t>
  </si>
  <si>
    <t>PD Lawyers Limited</t>
  </si>
  <si>
    <t>6 - 8 Gage Street</t>
  </si>
  <si>
    <t>LA1 1UH</t>
  </si>
  <si>
    <t>nigel@pdlawyers.co.uk</t>
  </si>
  <si>
    <t>Harding Evans LLP</t>
  </si>
  <si>
    <t>Queens Chambers, 2 North Street</t>
  </si>
  <si>
    <t>NP20 1TE</t>
  </si>
  <si>
    <t>wyn@hevans.com</t>
  </si>
  <si>
    <t>13 Merthyr Road</t>
  </si>
  <si>
    <t>CF14 1DA</t>
  </si>
  <si>
    <t>ww@hevans.com</t>
  </si>
  <si>
    <t>PCB Lawyers LLP</t>
  </si>
  <si>
    <t>Cavendish Court, 11-15 Wigmore Street</t>
  </si>
  <si>
    <t>W1U 1PF</t>
  </si>
  <si>
    <t>nchandhar@pcblawyers.com</t>
  </si>
  <si>
    <t>Rodwell Tower 111 Piccadilly</t>
  </si>
  <si>
    <t>sanderton@pcblawyers.com</t>
  </si>
  <si>
    <t>Woodford Stauffer</t>
  </si>
  <si>
    <t>Church Path House</t>
  </si>
  <si>
    <t>63a Lynchford Road</t>
  </si>
  <si>
    <t>GU14 6EJ</t>
  </si>
  <si>
    <t>bowend@woodfordstauffer.co.uk</t>
  </si>
  <si>
    <t>The Parade, Petersfield Road</t>
  </si>
  <si>
    <t>Whitehill</t>
  </si>
  <si>
    <t>GU35 9AR</t>
  </si>
  <si>
    <t>enquiries@woodfordstauffer.co.uk</t>
  </si>
  <si>
    <t>Watson Ramsbottom Limited</t>
  </si>
  <si>
    <t>33-39 Railway Road</t>
  </si>
  <si>
    <t>Darwen</t>
  </si>
  <si>
    <t>BB3 2RL</t>
  </si>
  <si>
    <t>karen.green@watsonramsbottom.com</t>
  </si>
  <si>
    <t>18a - 20 Queen Street</t>
  </si>
  <si>
    <t>BB6 7QQ</t>
  </si>
  <si>
    <t>25-29 Victoria Street</t>
  </si>
  <si>
    <t>BB1 6DN</t>
  </si>
  <si>
    <t>Karen.green@watsonramsbottom.com</t>
  </si>
  <si>
    <t>25 Blackburn Road</t>
  </si>
  <si>
    <t>BB5 1HF</t>
  </si>
  <si>
    <t>33 Ropergate</t>
  </si>
  <si>
    <t>WF8 1LE</t>
  </si>
  <si>
    <t>Chorley</t>
  </si>
  <si>
    <t>2 St Mary's Walk</t>
  </si>
  <si>
    <t>PR7 2RT</t>
  </si>
  <si>
    <t>2-4 Castlegate</t>
  </si>
  <si>
    <t>BB7 1AZ</t>
  </si>
  <si>
    <t>Barnoldswick</t>
  </si>
  <si>
    <t>Station Chambers, 16 Fernlea Avenue</t>
  </si>
  <si>
    <t>BB18 5DP</t>
  </si>
  <si>
    <t>Suite 207, Park House Business Centre</t>
  </si>
  <si>
    <t>10 Park Street</t>
  </si>
  <si>
    <t>BS1 5HX</t>
  </si>
  <si>
    <t>Jubilee House, East Beach</t>
  </si>
  <si>
    <t>FY8 5FT</t>
  </si>
  <si>
    <t>enquiries@watsonramsbottom.com</t>
  </si>
  <si>
    <t>Delph</t>
  </si>
  <si>
    <t>Unit 4A Riverside Court</t>
  </si>
  <si>
    <t>Huddersfield Road</t>
  </si>
  <si>
    <t>OL3 5FZ</t>
  </si>
  <si>
    <t>Info@watsonramsbottom.com</t>
  </si>
  <si>
    <t>11 Finsley Gate</t>
  </si>
  <si>
    <t>BB11 2HA</t>
  </si>
  <si>
    <t>team@baldwinwyatt.com</t>
  </si>
  <si>
    <t>164 St John's Hill</t>
  </si>
  <si>
    <t>SW11 1SJ</t>
  </si>
  <si>
    <t>newenquiries@newriversidelegal.com</t>
  </si>
  <si>
    <t>The Portal, Bridgewater Close</t>
  </si>
  <si>
    <t>Hapton</t>
  </si>
  <si>
    <t xml:space="preserve">Burnley </t>
  </si>
  <si>
    <t>BB11 5TT</t>
  </si>
  <si>
    <t>Ratio Law Limited</t>
  </si>
  <si>
    <t>Fabric  30 Queen Street</t>
  </si>
  <si>
    <t>Lincoln Square</t>
  </si>
  <si>
    <t>M2 5HX</t>
  </si>
  <si>
    <t>hello@ratiolaw.co.uk</t>
  </si>
  <si>
    <t>Walkers Solicitors Limited</t>
  </si>
  <si>
    <t>574 Bacup Road</t>
  </si>
  <si>
    <t>Waterfoot</t>
  </si>
  <si>
    <t>BB4 7HB</t>
  </si>
  <si>
    <t>ian.bonney@walkers-solicitors.com</t>
  </si>
  <si>
    <t>Stilwell &amp; Singleton LLP</t>
  </si>
  <si>
    <t>110 Maison Dieu Road</t>
  </si>
  <si>
    <t>CT16 1RT</t>
  </si>
  <si>
    <t>conveyancing@stilwellsingleton.co.uk</t>
  </si>
  <si>
    <t>127 High Street</t>
  </si>
  <si>
    <t>Deal</t>
  </si>
  <si>
    <t>CT14 6BB</t>
  </si>
  <si>
    <t>1-3 King Street</t>
  </si>
  <si>
    <t>Sandwich</t>
  </si>
  <si>
    <t>CT13 9BT</t>
  </si>
  <si>
    <t>Wannops LLP</t>
  </si>
  <si>
    <t>Southfield House</t>
  </si>
  <si>
    <t>11 Liverpool Gardens</t>
  </si>
  <si>
    <t>BN11 1SD</t>
  </si>
  <si>
    <t>elippitt@wannops.com</t>
  </si>
  <si>
    <t>South Pallant House</t>
  </si>
  <si>
    <t>8 South Pallant</t>
  </si>
  <si>
    <t>PO19 1TH</t>
  </si>
  <si>
    <t>54 High Street</t>
  </si>
  <si>
    <t>Bognor Regis</t>
  </si>
  <si>
    <t>PO21 1SP</t>
  </si>
  <si>
    <t>6 SURREY STREET</t>
  </si>
  <si>
    <t>LITTLEHAMPTON</t>
  </si>
  <si>
    <t>WEST SUSSEX</t>
  </si>
  <si>
    <t>BN17 5BG</t>
  </si>
  <si>
    <t>227 West Street</t>
  </si>
  <si>
    <t xml:space="preserve">PO16 0HA </t>
  </si>
  <si>
    <t>Southsea</t>
  </si>
  <si>
    <t>108 Victoria Road North</t>
  </si>
  <si>
    <t>PO5 1QQ</t>
  </si>
  <si>
    <t>mail@stokes-law.co.uk</t>
  </si>
  <si>
    <t>Rhodes &amp; Walker Limited</t>
  </si>
  <si>
    <t>Devere House, 62 Vicar Lane</t>
  </si>
  <si>
    <t>BD1 5AH</t>
  </si>
  <si>
    <t>walker@rhodeswalker.co.uk</t>
  </si>
  <si>
    <t>Unit 11 Cliffe Park Way</t>
  </si>
  <si>
    <t>LS27 0RY</t>
  </si>
  <si>
    <t>d.mavin@rhodeswalker.co.uk</t>
  </si>
  <si>
    <t>Hopleys GMA incorporating Keene and Kelly</t>
  </si>
  <si>
    <t>39 King Street</t>
  </si>
  <si>
    <t>Clwyd</t>
  </si>
  <si>
    <t>LL11 1HR</t>
  </si>
  <si>
    <t>spteam@wrexhamsolicitors.co.uk</t>
  </si>
  <si>
    <t>95 High Street</t>
  </si>
  <si>
    <t>CH7 1BQ</t>
  </si>
  <si>
    <t>Wrigleys Solicitors LLP</t>
  </si>
  <si>
    <t>3 Wellington Place</t>
  </si>
  <si>
    <t>Compliance@wrigleys.co.uk</t>
  </si>
  <si>
    <t>6th Floor, Derwent House</t>
  </si>
  <si>
    <t>150 Arundel Gate</t>
  </si>
  <si>
    <t>S1 2FN</t>
  </si>
  <si>
    <t>CGM Hampshire Limited</t>
  </si>
  <si>
    <t>Enterprise House. Ocean Way</t>
  </si>
  <si>
    <t>Ocean Village</t>
  </si>
  <si>
    <t>SO14 3XB</t>
  </si>
  <si>
    <t>carolinestennett@c-g-m.co.uk</t>
  </si>
  <si>
    <t>HYTHE</t>
  </si>
  <si>
    <t>2a and 4a HIGH STREET</t>
  </si>
  <si>
    <t>SO45 6YW</t>
  </si>
  <si>
    <t>7 SALISBURY ROAD</t>
  </si>
  <si>
    <t>SO40 3HW</t>
  </si>
  <si>
    <t>Layzells Law LLP</t>
  </si>
  <si>
    <t>255 Muswell Hill Broadway</t>
  </si>
  <si>
    <t>N10 1DG</t>
  </si>
  <si>
    <t>eleni@layzellslaw.co.uk</t>
  </si>
  <si>
    <t>Castle Sanderson</t>
  </si>
  <si>
    <t>64-66 Austhorpe Road</t>
  </si>
  <si>
    <t xml:space="preserve">Crossgates, </t>
  </si>
  <si>
    <t>LS15 8DZ</t>
  </si>
  <si>
    <t>jleahy@castlesanderson.co.uk</t>
  </si>
  <si>
    <t xml:space="preserve">Woollcombe Yonge LLP </t>
  </si>
  <si>
    <t>5th Floor, Old Tree Court</t>
  </si>
  <si>
    <t>64 Exeter Street</t>
  </si>
  <si>
    <t>PL4 0AJ</t>
  </si>
  <si>
    <t>JMC@wysolicitors.co.uk</t>
  </si>
  <si>
    <t>P A Todd &amp; Company Limited</t>
  </si>
  <si>
    <t xml:space="preserve">Fara House 378 East Park Road </t>
  </si>
  <si>
    <t>LE5 5AY</t>
  </si>
  <si>
    <t>nazira@patodd.co.uk</t>
  </si>
  <si>
    <t>Brighouse Wolff</t>
  </si>
  <si>
    <t>28 Derby Street</t>
  </si>
  <si>
    <t>L39 2BY</t>
  </si>
  <si>
    <t>firm@brighouse-wolff.co.uk</t>
  </si>
  <si>
    <t>Skelmersdale</t>
  </si>
  <si>
    <t>82 Sandy Lane</t>
  </si>
  <si>
    <t>WN8 8LQ</t>
  </si>
  <si>
    <t>c.aitken@brighouse-wolff.co.uk</t>
  </si>
  <si>
    <t>Emsleys Solicitors Limited</t>
  </si>
  <si>
    <t>No 6 Colton Mill, Bullerthorpe Lane</t>
  </si>
  <si>
    <t>LS15 9JN</t>
  </si>
  <si>
    <t>judith.hogg@emsleys.co.uk</t>
  </si>
  <si>
    <t>Crossgates</t>
  </si>
  <si>
    <t>35 Austhorpe Road</t>
  </si>
  <si>
    <t>LS15 8BA</t>
  </si>
  <si>
    <t>65 Commercial Street</t>
  </si>
  <si>
    <t>LS26 0QD</t>
  </si>
  <si>
    <t>Addies Limited</t>
  </si>
  <si>
    <t>58-62 Adelaide Street</t>
  </si>
  <si>
    <t>lmc@addies.co.uk</t>
  </si>
  <si>
    <t>1 Queens Square</t>
  </si>
  <si>
    <t>Poulton-le-Fylde</t>
  </si>
  <si>
    <t>FY6 7BW</t>
  </si>
  <si>
    <t>Elliot Mather LLP</t>
  </si>
  <si>
    <t>St Mary's Court</t>
  </si>
  <si>
    <t>St Mary's Gate</t>
  </si>
  <si>
    <t>S41 7TD</t>
  </si>
  <si>
    <t>katie.yates@elliotmather.co.uk</t>
  </si>
  <si>
    <t>Westgate House, 1 Chesterfield Road South</t>
  </si>
  <si>
    <t>NG18 5NR</t>
  </si>
  <si>
    <t xml:space="preserve">debbie.smith@elliotmather.co.uk </t>
  </si>
  <si>
    <t>Gervase House</t>
  </si>
  <si>
    <t>111-113 Friar Gate</t>
  </si>
  <si>
    <t>DE1 1EX</t>
  </si>
  <si>
    <t>matthew.macefield@elliotmather.co.uk</t>
  </si>
  <si>
    <t>18 Carrington Street</t>
  </si>
  <si>
    <t>NG1 7FF</t>
  </si>
  <si>
    <t>daniel.lindon@elliotmather.co.uk</t>
  </si>
  <si>
    <t>John Fowlers LLP</t>
  </si>
  <si>
    <t>Town Hall Chambers</t>
  </si>
  <si>
    <t>St Runwalds Street</t>
  </si>
  <si>
    <t>CO1 1DS</t>
  </si>
  <si>
    <t>neil@johnfowlers.co.uk</t>
  </si>
  <si>
    <t>Brightlingsea</t>
  </si>
  <si>
    <t>12 Victoria Place</t>
  </si>
  <si>
    <t>CO7 0BX</t>
  </si>
  <si>
    <t>brightlingsea@johnfowlers.co.uk</t>
  </si>
  <si>
    <t>HLF Berry LLP</t>
  </si>
  <si>
    <t>446 Barlow Moor Road</t>
  </si>
  <si>
    <t>Chorlton</t>
  </si>
  <si>
    <t>M21 0BQ</t>
  </si>
  <si>
    <t>dlm@hlfberry.com</t>
  </si>
  <si>
    <t>758 OLDHAM ROAD</t>
  </si>
  <si>
    <t>FAILSWORTH</t>
  </si>
  <si>
    <t>M35 9XB</t>
  </si>
  <si>
    <t>St John's House 155-163 The Rock</t>
  </si>
  <si>
    <t>BL9 0ND</t>
  </si>
  <si>
    <t>Gilbert Davies and Partners Limited</t>
  </si>
  <si>
    <t>18 Severn Street</t>
  </si>
  <si>
    <t>Welshpool</t>
  </si>
  <si>
    <t>SY21 7AD</t>
  </si>
  <si>
    <t>arwel.jones@gilbert-davies.com</t>
  </si>
  <si>
    <t>Talbots Law Ltd</t>
  </si>
  <si>
    <t>Inhedge House</t>
  </si>
  <si>
    <t>31 Wolverhampton Street</t>
  </si>
  <si>
    <t>DY1 1DB</t>
  </si>
  <si>
    <t>EmmaBuckley@talbotslaw.co.uk</t>
  </si>
  <si>
    <t>Codsall</t>
  </si>
  <si>
    <t>2 Station Road</t>
  </si>
  <si>
    <t>WV8 1BX</t>
  </si>
  <si>
    <t>propertyteamwolverhampton@talbotslaw.co.uk</t>
  </si>
  <si>
    <t>Halesowen</t>
  </si>
  <si>
    <t>5-7 Hagley Road</t>
  </si>
  <si>
    <t>B63 4PU</t>
  </si>
  <si>
    <t>propertyteamhalesowen@talbotslaw.co.uk</t>
  </si>
  <si>
    <t>30 Church Street</t>
  </si>
  <si>
    <t>DY10 2AX</t>
  </si>
  <si>
    <t>propertyteamkidderminster@talbotslaw.co.uk</t>
  </si>
  <si>
    <t>Roma Parva, Ground Floor Suite, 9 Waterloo Road</t>
  </si>
  <si>
    <t>WV1 4NB</t>
  </si>
  <si>
    <t>wolverhamptonpropertyteam@talbotslaw.co.uk</t>
  </si>
  <si>
    <t>Stourbridge</t>
  </si>
  <si>
    <t>Morgan House, 25-27 Hagley Road</t>
  </si>
  <si>
    <t>DY8 1QH</t>
  </si>
  <si>
    <t>stourbridgepropertyteam@talbotslaw.co.uk</t>
  </si>
  <si>
    <t>Seymour House, 15a Frederick Road</t>
  </si>
  <si>
    <t>B15 1JD</t>
  </si>
  <si>
    <t>info@talbotslaw.co.uk</t>
  </si>
  <si>
    <t>Ground Floor, Unit 7</t>
  </si>
  <si>
    <t>Waterfront Business Park, Waterfront Way</t>
  </si>
  <si>
    <t>DY5 1LX</t>
  </si>
  <si>
    <t>DudleyPropertyTeam@talbotslaw.co.uk</t>
  </si>
  <si>
    <t>10 The Quadrant</t>
  </si>
  <si>
    <t>CV1 2EL</t>
  </si>
  <si>
    <t>propertyTeamCoventry@talbotslaw.co.uk</t>
  </si>
  <si>
    <t>Bewdley</t>
  </si>
  <si>
    <t>Bridge House</t>
  </si>
  <si>
    <t>River Side North</t>
  </si>
  <si>
    <t>DY12 1AB</t>
  </si>
  <si>
    <t>PropertyTeamBewdley@talbotslaw.co.uk</t>
  </si>
  <si>
    <t>23 Foregate Street</t>
  </si>
  <si>
    <t>WR1 1DN</t>
  </si>
  <si>
    <t>newbusiness@talbotslaw.co.uk</t>
  </si>
  <si>
    <t>91 Cheshire Street</t>
  </si>
  <si>
    <t>TF9 3AF</t>
  </si>
  <si>
    <t>david@onionsanddavies.co.uk</t>
  </si>
  <si>
    <t>Hays House</t>
  </si>
  <si>
    <t>25 Albion St</t>
  </si>
  <si>
    <t>ST1 1QF</t>
  </si>
  <si>
    <t>newenquiries@talbotslaw.co.uk</t>
  </si>
  <si>
    <t>10 Derby Street</t>
  </si>
  <si>
    <t>ST13 5AW</t>
  </si>
  <si>
    <t>47 High St</t>
  </si>
  <si>
    <t>CW11 1FT</t>
  </si>
  <si>
    <t>Jordan House West, Hall Court</t>
  </si>
  <si>
    <t>Hall Park Way</t>
  </si>
  <si>
    <t>TF3 4NJ</t>
  </si>
  <si>
    <t>First Floor, 153 Avon Road</t>
  </si>
  <si>
    <t>WS11 1LF</t>
  </si>
  <si>
    <t>RachelAspinall@talbotslaw.co.uk</t>
  </si>
  <si>
    <t>Merritts Solicitors LLP</t>
  </si>
  <si>
    <t>83 High Street</t>
  </si>
  <si>
    <t>TS15 9BG</t>
  </si>
  <si>
    <t>ar@merritts-solicitors.co.uk</t>
  </si>
  <si>
    <t>Mander Hadley Limited</t>
  </si>
  <si>
    <t>1 The Quadrant</t>
  </si>
  <si>
    <t>CV1 2DW</t>
  </si>
  <si>
    <t>ElizabethJennings@manderhadley.co.uk</t>
  </si>
  <si>
    <t>39-41 Warwick Road,</t>
  </si>
  <si>
    <t>Kenilworth</t>
  </si>
  <si>
    <t>CV8 1HN</t>
  </si>
  <si>
    <t>Bowser Ollard &amp; Bentley Ltd</t>
  </si>
  <si>
    <t>15 South Brink</t>
  </si>
  <si>
    <t>PE13 1JL</t>
  </si>
  <si>
    <t>reception@bowsers.co.uk</t>
  </si>
  <si>
    <t>PE15 9JQ</t>
  </si>
  <si>
    <t>Gray Hooper Holt LLP</t>
  </si>
  <si>
    <t>21 Perrymount Road</t>
  </si>
  <si>
    <t>RH16 3TP</t>
  </si>
  <si>
    <t>info@grayhooperholt.co.uk</t>
  </si>
  <si>
    <t>Tozers LLP</t>
  </si>
  <si>
    <t>Broadwalk House, Southernhay West</t>
  </si>
  <si>
    <t>EX1 1UA</t>
  </si>
  <si>
    <t>lenders@tozers.co.uk</t>
  </si>
  <si>
    <t>2-3 Orchard Gardens</t>
  </si>
  <si>
    <t>TQ14 8DR</t>
  </si>
  <si>
    <t>p.zaleski@tozers.co.uk</t>
  </si>
  <si>
    <t>10 St Pauls Road</t>
  </si>
  <si>
    <t>TQ12 4PR</t>
  </si>
  <si>
    <t>m.meleady@tozers.co.uk</t>
  </si>
  <si>
    <t>Ramsdens Solicitors LLP</t>
  </si>
  <si>
    <t>Oakley House, 1 Hungerford Road</t>
  </si>
  <si>
    <t>Edgerton</t>
  </si>
  <si>
    <t>HD3 3AL</t>
  </si>
  <si>
    <t>lindsey.frith@ramsdens.co.uk</t>
  </si>
  <si>
    <t>94-96 Southgate</t>
  </si>
  <si>
    <t>Elland</t>
  </si>
  <si>
    <t>HX5 0ET</t>
  </si>
  <si>
    <t>GetMoving@Ramsdens.co.uk</t>
  </si>
  <si>
    <t>Second Floor East</t>
  </si>
  <si>
    <t>Bowling Mill, Dean Clough Mills</t>
  </si>
  <si>
    <t>HX3 5FD</t>
  </si>
  <si>
    <t>GetMoving@ramsdens.co.uk</t>
  </si>
  <si>
    <t>102 Huddersfield Road</t>
  </si>
  <si>
    <t>HD9 3AX</t>
  </si>
  <si>
    <t>7 King Street</t>
  </si>
  <si>
    <t>WF14 8AW</t>
  </si>
  <si>
    <t>18 Lewisham Road</t>
  </si>
  <si>
    <t>Slaithwaite</t>
  </si>
  <si>
    <t>HD7 5AL</t>
  </si>
  <si>
    <t>15-17 Cheapside</t>
  </si>
  <si>
    <t>WF1 2SD</t>
  </si>
  <si>
    <t xml:space="preserve">Ramsden Street </t>
  </si>
  <si>
    <t xml:space="preserve">Huddersfield </t>
  </si>
  <si>
    <t>HD1 2TH</t>
  </si>
  <si>
    <t>Ground Floor, Unit 6 Arabesque House</t>
  </si>
  <si>
    <t>Monks Cross</t>
  </si>
  <si>
    <t>YO32 9GZ</t>
  </si>
  <si>
    <t>Greenwoods Solicitors Limited</t>
  </si>
  <si>
    <t>HG5 0EA</t>
  </si>
  <si>
    <t>drh@greenwoodslaw.co.uk</t>
  </si>
  <si>
    <t>Howells Legal Limited</t>
  </si>
  <si>
    <t>Fitzalan House, Fitzalan Court, Fitzalan Road</t>
  </si>
  <si>
    <t>CF24 0EL</t>
  </si>
  <si>
    <t>info@howellslegal.com</t>
  </si>
  <si>
    <t>4 Langdon House, Langdon Road</t>
  </si>
  <si>
    <t>Sara.miles@howellslegal.com</t>
  </si>
  <si>
    <t>29 Bridge Street</t>
  </si>
  <si>
    <t>NP20 4BG</t>
  </si>
  <si>
    <t>Joanna.Ingles@howellslegal.com</t>
  </si>
  <si>
    <t>Elm Court</t>
  </si>
  <si>
    <t>Cowbridge Road</t>
  </si>
  <si>
    <t>CF31 3SR</t>
  </si>
  <si>
    <t>michael.s@howellslegal.com</t>
  </si>
  <si>
    <t>Frank &amp; Co</t>
  </si>
  <si>
    <t xml:space="preserve">253 Watling Street </t>
  </si>
  <si>
    <t>WD7 7AL</t>
  </si>
  <si>
    <t>Linzi@frankandcompany.co.uk</t>
  </si>
  <si>
    <t>Abbots Langley</t>
  </si>
  <si>
    <t>5 Langley Parade</t>
  </si>
  <si>
    <t>Langley Road</t>
  </si>
  <si>
    <t>WD5  0AB</t>
  </si>
  <si>
    <t>nicola@frankandcompany.co.uk</t>
  </si>
  <si>
    <t>Berry Redmond Gordon and Penney LLP</t>
  </si>
  <si>
    <t>50 Boulevard</t>
  </si>
  <si>
    <t>BS23 1NF</t>
  </si>
  <si>
    <t>gina.machell@brgplaw.co.uk</t>
  </si>
  <si>
    <t>129a High Street</t>
  </si>
  <si>
    <t>BS22 6HQ</t>
  </si>
  <si>
    <t>Georgina.Machell@brgplaw.co.uk</t>
  </si>
  <si>
    <t>10 Woodborough Road</t>
  </si>
  <si>
    <t>Winscombe</t>
  </si>
  <si>
    <t>BS25 1AA</t>
  </si>
  <si>
    <t>Graysons</t>
  </si>
  <si>
    <t>Courtwood House, Silver Street Head</t>
  </si>
  <si>
    <t>S1 2DD</t>
  </si>
  <si>
    <t>caroline.murray@graysons.co.uk</t>
  </si>
  <si>
    <t xml:space="preserve">Unit 6, Brunel House, Heather Lane </t>
  </si>
  <si>
    <t>Hathersage, Hope Valley</t>
  </si>
  <si>
    <t>S32 1DP</t>
  </si>
  <si>
    <t xml:space="preserve">enquiries@graysons.co.uk </t>
  </si>
  <si>
    <t>Unit 14F The Glass Yard</t>
  </si>
  <si>
    <t>Sheffield Road</t>
  </si>
  <si>
    <t>S41 8JY</t>
  </si>
  <si>
    <t>enquiries@graysons.co.uk</t>
  </si>
  <si>
    <t>Goddard Dunbar &amp; Associates Ltd</t>
  </si>
  <si>
    <t>Lincoln Chambers 34-36 Hightown</t>
  </si>
  <si>
    <t>CW1 3BS</t>
  </si>
  <si>
    <t>Melanie@goddarddunbar.co.uk</t>
  </si>
  <si>
    <t>Genesis Centre</t>
  </si>
  <si>
    <t>69 Derby Street</t>
  </si>
  <si>
    <t>ST13 6JL</t>
  </si>
  <si>
    <t>Leek@goddarddunbar.co.uk</t>
  </si>
  <si>
    <t>Howarth &amp; Hollings</t>
  </si>
  <si>
    <t>20 Devonshire Street</t>
  </si>
  <si>
    <t>BD21 2AU</t>
  </si>
  <si>
    <t>nicola.howarth@howarthandhollings.co.uk</t>
  </si>
  <si>
    <t>Fellowes Solicitors LLP</t>
  </si>
  <si>
    <t>Saxon House, 182 Hoe Street</t>
  </si>
  <si>
    <t>E17 4QH</t>
  </si>
  <si>
    <t>jss@fellowes.org</t>
  </si>
  <si>
    <t>Francis George Solicitor-Advocate Limited</t>
  </si>
  <si>
    <t>Old Town</t>
  </si>
  <si>
    <t>SN1 3EP</t>
  </si>
  <si>
    <t>asif.robbani@fgsa.co.uk</t>
  </si>
  <si>
    <t>First Floor, 1 High Street</t>
  </si>
  <si>
    <t>OX28 6HW</t>
  </si>
  <si>
    <t>Jacksons Commercial &amp; Private Law LLP</t>
  </si>
  <si>
    <t>17 Falcon Court</t>
  </si>
  <si>
    <t xml:space="preserve">Preston Farm Industrial Estate </t>
  </si>
  <si>
    <t>TS18 3TU</t>
  </si>
  <si>
    <t>jwall@jacksons-law.com</t>
  </si>
  <si>
    <t>Central Square</t>
  </si>
  <si>
    <t>Forth Street</t>
  </si>
  <si>
    <t>NE1 3PJ</t>
  </si>
  <si>
    <t>iedmondson@jacksons-law.com</t>
  </si>
  <si>
    <t>Watkins Solicitors Incorporating Brain Sinnott &amp; Co</t>
  </si>
  <si>
    <t>192 North Street</t>
  </si>
  <si>
    <t>BS3 1JF</t>
  </si>
  <si>
    <t>sramzan@watkinssolicitors.co.uk</t>
  </si>
  <si>
    <t>713-715 Fishponds Road</t>
  </si>
  <si>
    <t>Fishponds</t>
  </si>
  <si>
    <t>BS16 3UH</t>
  </si>
  <si>
    <t>Suite 3, 3rd Floor, Kemble House, 36-39 Broad Street</t>
  </si>
  <si>
    <t>Susan Hall and Co Solicitors Limited</t>
  </si>
  <si>
    <t>24-25 Market Place</t>
  </si>
  <si>
    <t>SG5 1DT</t>
  </si>
  <si>
    <t>steve@susanhall.co.uk</t>
  </si>
  <si>
    <t>Shefford</t>
  </si>
  <si>
    <t>32 High Street</t>
  </si>
  <si>
    <t>SG17 5DG</t>
  </si>
  <si>
    <t>michelle@susanhall.co.uk</t>
  </si>
  <si>
    <t>Carter Bells LLP</t>
  </si>
  <si>
    <t>Kings Stone House, 12 High Street</t>
  </si>
  <si>
    <t>Kingston Upon Thames</t>
  </si>
  <si>
    <t>KT1 1HD</t>
  </si>
  <si>
    <t>justin.pinches@carterbells.co.uk</t>
  </si>
  <si>
    <t>Dudman Shaw Ltd</t>
  </si>
  <si>
    <t>Rundlewalker, Kings Wharf</t>
  </si>
  <si>
    <t>The Quay</t>
  </si>
  <si>
    <t>EX2 4AN</t>
  </si>
  <si>
    <t>jodie.everard@rundlewalker.com</t>
  </si>
  <si>
    <t>Roythornes LLP</t>
  </si>
  <si>
    <t>Enterprise Way</t>
  </si>
  <si>
    <t>Pinchbeck</t>
  </si>
  <si>
    <t>PE11 3YR</t>
  </si>
  <si>
    <t>clairelangford@roythornes.co.uk</t>
  </si>
  <si>
    <t>Incubator 2, The Boulevard</t>
  </si>
  <si>
    <t>Enterprise Campus</t>
  </si>
  <si>
    <t>PE28 4XA</t>
  </si>
  <si>
    <t>1 Newhall Street</t>
  </si>
  <si>
    <t>B3 3NH</t>
  </si>
  <si>
    <t>East West, Tollhouse Hill</t>
  </si>
  <si>
    <t>NG1 5FS</t>
  </si>
  <si>
    <t>victoriastevenson@roythornes.co.uk</t>
  </si>
  <si>
    <t>Bee House, 140 Eastern Avenue</t>
  </si>
  <si>
    <t>Milton Park</t>
  </si>
  <si>
    <t>OX14 4SB</t>
  </si>
  <si>
    <t>Gordons Partnership 2020 Limited</t>
  </si>
  <si>
    <t>Edgeborough House</t>
  </si>
  <si>
    <t>Upper Edgeborough Road</t>
  </si>
  <si>
    <t>GU1 2BJ</t>
  </si>
  <si>
    <t>franki@gordonsols.co.uk</t>
  </si>
  <si>
    <t>First Floor, 1 Chancery Lane</t>
  </si>
  <si>
    <t>WC2A 1LF</t>
  </si>
  <si>
    <t>sols@gordonsols.co.uk</t>
  </si>
  <si>
    <t>Symes Bains Broomer Limited</t>
  </si>
  <si>
    <t>2 Park Square</t>
  </si>
  <si>
    <t>Laneham Street</t>
  </si>
  <si>
    <t>DN15 6JH</t>
  </si>
  <si>
    <t>kelly.barraclough@sbblaw.com</t>
  </si>
  <si>
    <t>The Port Office</t>
  </si>
  <si>
    <t>East Parade</t>
  </si>
  <si>
    <t>Goole</t>
  </si>
  <si>
    <t>DN14 5RB</t>
  </si>
  <si>
    <t>Farrer &amp; Co LLP</t>
  </si>
  <si>
    <t>66 Lincoln's Inn Fields</t>
  </si>
  <si>
    <t>WC2A 3LH</t>
  </si>
  <si>
    <t>hugh.wigzell@farrer.co.uk</t>
  </si>
  <si>
    <t>Brown &amp; Co Property Lawyers Limited</t>
  </si>
  <si>
    <t>126 Station Road</t>
  </si>
  <si>
    <t>Burnham on Crouch</t>
  </si>
  <si>
    <t>CM0 8HQ</t>
  </si>
  <si>
    <t>laura.maggs@montrosebrownlaw.co.uk</t>
  </si>
  <si>
    <t>Northfleet</t>
  </si>
  <si>
    <t>Fleet House, Springhead Enterprise Park</t>
  </si>
  <si>
    <t>Springhead Road</t>
  </si>
  <si>
    <t>DA11 8HJ</t>
  </si>
  <si>
    <t>1636 Parkway</t>
  </si>
  <si>
    <t>PO15 7AH</t>
  </si>
  <si>
    <t>ask@montrosebrownlaw.co.uk</t>
  </si>
  <si>
    <t>Nicholson Martin Legge &amp; Miller</t>
  </si>
  <si>
    <t>11 Thorneyholme Terrace</t>
  </si>
  <si>
    <t>Stanley</t>
  </si>
  <si>
    <t>DH9 0BL</t>
  </si>
  <si>
    <t>enquiries@nicholson-martin.co.uk</t>
  </si>
  <si>
    <t>65 Newbottle Street</t>
  </si>
  <si>
    <t>Houghton le Spring</t>
  </si>
  <si>
    <t>DH4 4AR</t>
  </si>
  <si>
    <t>enquiries.houghton@nicholson-martin.co.uk</t>
  </si>
  <si>
    <t>Athi Law LLP</t>
  </si>
  <si>
    <t>388 High Street</t>
  </si>
  <si>
    <t>West Bromwich</t>
  </si>
  <si>
    <t>B70 9LB</t>
  </si>
  <si>
    <t>manoj.athi@athilaw.co.uk</t>
  </si>
  <si>
    <t>118 Alderson Road</t>
  </si>
  <si>
    <t>S2 4UD</t>
  </si>
  <si>
    <t>Manoj.athi@athilaw.co.uk</t>
  </si>
  <si>
    <t>Dronfield</t>
  </si>
  <si>
    <t>7 High Street</t>
  </si>
  <si>
    <t>S18 1PX</t>
  </si>
  <si>
    <t>info@athilaw.co.uk</t>
  </si>
  <si>
    <t>JCP Solicitors Limited</t>
  </si>
  <si>
    <t>Venture Court, Waterside Business Park,</t>
  </si>
  <si>
    <t>Valley Way</t>
  </si>
  <si>
    <t>Enterprise Park</t>
  </si>
  <si>
    <t>SA6 8AH</t>
  </si>
  <si>
    <t>natalie.corbi@jcpsolicitors.co.uk</t>
  </si>
  <si>
    <t>Oak Corner, Haverfordwest Business Centre</t>
  </si>
  <si>
    <t>Merlins Court, Winch Lane</t>
  </si>
  <si>
    <t>SA61 1SB</t>
  </si>
  <si>
    <t>law@jcpsolicitors.co.uk</t>
  </si>
  <si>
    <t>Parc Pensarn</t>
  </si>
  <si>
    <t>Caerfyrddin</t>
  </si>
  <si>
    <t>Natalie.corbi@jcpsolicitors.co.uk</t>
  </si>
  <si>
    <t>First Floor, Atlantic House</t>
  </si>
  <si>
    <t>CF10 4AZ</t>
  </si>
  <si>
    <t>Ty Cennydd</t>
  </si>
  <si>
    <t>Castle Street</t>
  </si>
  <si>
    <t>CF83 1NZ</t>
  </si>
  <si>
    <t>6 WILLOW WALK</t>
  </si>
  <si>
    <t>OLD MASON'S YARD</t>
  </si>
  <si>
    <t>COWBRIDGE</t>
  </si>
  <si>
    <t>CF71 7EE</t>
  </si>
  <si>
    <t>38-40 Station Road</t>
  </si>
  <si>
    <t xml:space="preserve">SA13 1JS </t>
  </si>
  <si>
    <t xml:space="preserve">law@jcpsolicitors.co.uk </t>
  </si>
  <si>
    <t>Furley Page LLP</t>
  </si>
  <si>
    <t>39 St Margaret's Street</t>
  </si>
  <si>
    <t>CT1 2TX</t>
  </si>
  <si>
    <t>djp@furleypage.co.uk</t>
  </si>
  <si>
    <t>9 Boorman Way</t>
  </si>
  <si>
    <t>Estuary View Business Park</t>
  </si>
  <si>
    <t>CT5 3SE</t>
  </si>
  <si>
    <t>info@furleypage.co.uk</t>
  </si>
  <si>
    <t>Schofield Sweeney LLP</t>
  </si>
  <si>
    <t>Church Bank House, Church Bank</t>
  </si>
  <si>
    <t xml:space="preserve">West Yorkshire </t>
  </si>
  <si>
    <t>BD1 4DY</t>
  </si>
  <si>
    <t>manjitvirdee@schofieldsweeney.co.uk</t>
  </si>
  <si>
    <t>Springfield House, 76 Wellington Street</t>
  </si>
  <si>
    <t>LS1 2AY</t>
  </si>
  <si>
    <t>Property Legal (Manchester) Limited</t>
  </si>
  <si>
    <t>PLS House, 2 Aegean Road, Atlantic Street</t>
  </si>
  <si>
    <t xml:space="preserve">Broadheath </t>
  </si>
  <si>
    <t>WA14 5UW</t>
  </si>
  <si>
    <t>postcompletions@pls-solicitors.co.uk</t>
  </si>
  <si>
    <t>Lockings Legal Services Limited</t>
  </si>
  <si>
    <t>Lowgate</t>
  </si>
  <si>
    <t>HU1 1YG</t>
  </si>
  <si>
    <t>ljs@lockings.co.uk</t>
  </si>
  <si>
    <t>Highgate House</t>
  </si>
  <si>
    <t>19 Wednesday Market</t>
  </si>
  <si>
    <t>HU17 0DJ</t>
  </si>
  <si>
    <t>customerservices@lockings.co.uk</t>
  </si>
  <si>
    <t>Suite 2A, 18 Back Swinegate</t>
  </si>
  <si>
    <t>YO1 8AD</t>
  </si>
  <si>
    <t>BP Legal Solicitors Ltd</t>
  </si>
  <si>
    <t>221 Belgrave Gate</t>
  </si>
  <si>
    <t>LE1 3HT</t>
  </si>
  <si>
    <t>bhumika@bplegal.co.uk</t>
  </si>
  <si>
    <t>Roberts Solicitors Limited</t>
  </si>
  <si>
    <t>42 Jordangate</t>
  </si>
  <si>
    <t>SK10 1EW</t>
  </si>
  <si>
    <t>mail@rc.legal</t>
  </si>
  <si>
    <t>NWL Solicitors</t>
  </si>
  <si>
    <t>7 Hampstead West, 224 Iverson Road</t>
  </si>
  <si>
    <t>NW6 2HL</t>
  </si>
  <si>
    <t>wodeh@nwlsolicitors.co.uk</t>
  </si>
  <si>
    <t>Douglas Wemyss Solicitors LLP</t>
  </si>
  <si>
    <t>14-18 Friar Lane</t>
  </si>
  <si>
    <t>LE1 5RA</t>
  </si>
  <si>
    <t>asma.karim@d-w-s.co.uk</t>
  </si>
  <si>
    <t>DC Kaye Solicitors Limited</t>
  </si>
  <si>
    <t>Old Bank Chambers, 2 Wycombe Road</t>
  </si>
  <si>
    <t>Prestwood</t>
  </si>
  <si>
    <t>Great Missenden</t>
  </si>
  <si>
    <t>HP16 0PW</t>
  </si>
  <si>
    <t>sara@dc-kaye.co.uk</t>
  </si>
  <si>
    <t>10a High Street</t>
  </si>
  <si>
    <t>Wendover</t>
  </si>
  <si>
    <t>Aylesbury</t>
  </si>
  <si>
    <t>HP22 6EA</t>
  </si>
  <si>
    <t>34/36 Sycamore Road</t>
  </si>
  <si>
    <t>Amersham</t>
  </si>
  <si>
    <t>HP6 5DR</t>
  </si>
  <si>
    <t>24 Temple Street</t>
  </si>
  <si>
    <t>HP20 2RQ</t>
  </si>
  <si>
    <t>Huggins Lewis Foskett</t>
  </si>
  <si>
    <t>5/6 The Shrubberies, George Lane</t>
  </si>
  <si>
    <t>E18 1BG</t>
  </si>
  <si>
    <t>jcarmichael@huggins-law.co.uk</t>
  </si>
  <si>
    <t>George Ide LLP</t>
  </si>
  <si>
    <t>52 North Street</t>
  </si>
  <si>
    <t>PO19 1NQ</t>
  </si>
  <si>
    <t>ResidentialConveyancing@georgeide.co.uk</t>
  </si>
  <si>
    <t>61A North Street</t>
  </si>
  <si>
    <t>PO19 1NB</t>
  </si>
  <si>
    <t>Meaby &amp; Co Solicitors LLP</t>
  </si>
  <si>
    <t>2 Camberwell Church Street</t>
  </si>
  <si>
    <t>SE5 8QY</t>
  </si>
  <si>
    <t>andy@meaby.co.uk</t>
  </si>
  <si>
    <t>94-96 Wigmore Street</t>
  </si>
  <si>
    <t>W1U 3RF</t>
  </si>
  <si>
    <t>159 High Street,</t>
  </si>
  <si>
    <t xml:space="preserve">Dorking, </t>
  </si>
  <si>
    <t xml:space="preserve">Surrey, </t>
  </si>
  <si>
    <t>RH4 1AD</t>
  </si>
  <si>
    <t>116 High Road</t>
  </si>
  <si>
    <t>IG7 5AR</t>
  </si>
  <si>
    <t>The Store, 9 White Street</t>
  </si>
  <si>
    <t>CM6 1BD</t>
  </si>
  <si>
    <t>info@meaby.co.uk</t>
  </si>
  <si>
    <t>Arnold Greenwood Solicitors Limited</t>
  </si>
  <si>
    <t>Exchange Chambers, 8-10 Highgate</t>
  </si>
  <si>
    <t>LA9 4SX</t>
  </si>
  <si>
    <t>lhughes@arnoldgreenwood.co.uk</t>
  </si>
  <si>
    <t>5 Lowther Gardens</t>
  </si>
  <si>
    <t>Grange-Over-Sands</t>
  </si>
  <si>
    <t>LA11 7EX</t>
  </si>
  <si>
    <t>info@arnoldgreenwood.co.uk</t>
  </si>
  <si>
    <t>Primarc Solicitors Ltd</t>
  </si>
  <si>
    <t>6 Broadway</t>
  </si>
  <si>
    <t>E15 4QS</t>
  </si>
  <si>
    <t>sk@eastmansolicitors.com</t>
  </si>
  <si>
    <t>Nelsons Solicitors Limited</t>
  </si>
  <si>
    <t>Sterne House</t>
  </si>
  <si>
    <t>Lodge Lane</t>
  </si>
  <si>
    <t>DE1 3WD</t>
  </si>
  <si>
    <t>conveyancing@nelsonslaw.co.uk</t>
  </si>
  <si>
    <t>Provincial House</t>
  </si>
  <si>
    <t>37 New Walk</t>
  </si>
  <si>
    <t>LE1 6TU</t>
  </si>
  <si>
    <t xml:space="preserve">conveyancing@nelsonslaw.co.uk </t>
  </si>
  <si>
    <t>Pennine House</t>
  </si>
  <si>
    <t>8 Stanford Street</t>
  </si>
  <si>
    <t>NG1 7BQ</t>
  </si>
  <si>
    <t xml:space="preserve">Tudur Owen Roberts Glynne &amp; Co </t>
  </si>
  <si>
    <t>6-8 Stanley Street</t>
  </si>
  <si>
    <t>Holyhead</t>
  </si>
  <si>
    <t xml:space="preserve">Anglesey </t>
  </si>
  <si>
    <t>LL65 1HG</t>
  </si>
  <si>
    <t>meleri@torglaw.co.uk</t>
  </si>
  <si>
    <t>Moreia</t>
  </si>
  <si>
    <t>South Penrallt</t>
  </si>
  <si>
    <t>LL55 1NS</t>
  </si>
  <si>
    <t>tudur@torglaw.co.uk</t>
  </si>
  <si>
    <t>157 High Street</t>
  </si>
  <si>
    <t>LL57 1NU</t>
  </si>
  <si>
    <t>gwyn@torglaw.co.uk</t>
  </si>
  <si>
    <t>40 High Street</t>
  </si>
  <si>
    <t>LL41 3AL</t>
  </si>
  <si>
    <t>post@ejlaw.co.uk</t>
  </si>
  <si>
    <t>Stanley House, Market Square</t>
  </si>
  <si>
    <t>LL65 1UF</t>
  </si>
  <si>
    <t>info@hjenkinshughes.co.uk</t>
  </si>
  <si>
    <t>ORJ Law Limited</t>
  </si>
  <si>
    <t>Queensville House, 49 Queensville</t>
  </si>
  <si>
    <t>ST17 4NL</t>
  </si>
  <si>
    <t>Jade.Orr@orj.co.uk</t>
  </si>
  <si>
    <t>New Zealand House, Suite C, 160-162 Abbey Foregate</t>
  </si>
  <si>
    <t>SY2 6FD</t>
  </si>
  <si>
    <t>Zoe.smith@orj.co.uk</t>
  </si>
  <si>
    <t xml:space="preserve">Charltons Solicitors Limited </t>
  </si>
  <si>
    <t>Saracen House 84 High Street</t>
  </si>
  <si>
    <t>Biddulph</t>
  </si>
  <si>
    <t>ST8 6AS</t>
  </si>
  <si>
    <t>catherine@charltonssolicitors.co.uk</t>
  </si>
  <si>
    <t>Heald Nickinson</t>
  </si>
  <si>
    <t>Landsdowne House, Knoll Road</t>
  </si>
  <si>
    <t>GU15 3SY</t>
  </si>
  <si>
    <t>elaineparkinson@healdnickinson.co.uk</t>
  </si>
  <si>
    <t xml:space="preserve">Byworth House, Units 1-2 Romans Industrial Park, </t>
  </si>
  <si>
    <t>East Street</t>
  </si>
  <si>
    <t>GU9 7TH</t>
  </si>
  <si>
    <t>12 North Bar</t>
  </si>
  <si>
    <t>OX16 0TB</t>
  </si>
  <si>
    <t>SHB Solicitors Ltd</t>
  </si>
  <si>
    <t>1 Berridge Street</t>
  </si>
  <si>
    <t>LE1 5JT</t>
  </si>
  <si>
    <t>iht@shbsolicitors.co.uk</t>
  </si>
  <si>
    <t>3 Wycliffe Street</t>
  </si>
  <si>
    <t>LE1 5LR</t>
  </si>
  <si>
    <t>cgooch@shbsolicitors.co.uk</t>
  </si>
  <si>
    <t>TW Solicitors Ltd</t>
  </si>
  <si>
    <t>73 Lowfield Street</t>
  </si>
  <si>
    <t>DA1 1HP</t>
  </si>
  <si>
    <t>Dartford@twsolicitors.co.uk</t>
  </si>
  <si>
    <t>Gould &amp; Swayne Limited</t>
  </si>
  <si>
    <t>31 High Street</t>
  </si>
  <si>
    <t>Glastonbury</t>
  </si>
  <si>
    <t>BA6 9HA</t>
  </si>
  <si>
    <t>l.guy@gouldandswayne.co.uk</t>
  </si>
  <si>
    <t>21 Broad Street</t>
  </si>
  <si>
    <t>BA5 2DJ</t>
  </si>
  <si>
    <t>wells@gouldandswayne.co.uk</t>
  </si>
  <si>
    <t>76 High Street</t>
  </si>
  <si>
    <t>BA16 0EN</t>
  </si>
  <si>
    <t>street@gouldandswayne.co.uk</t>
  </si>
  <si>
    <t>BRM Law Limited</t>
  </si>
  <si>
    <t>Gray Court, 99 Saltergate</t>
  </si>
  <si>
    <t>S40 1LD</t>
  </si>
  <si>
    <t>stuart.taphouse@brmlaw.co.uk</t>
  </si>
  <si>
    <t>3rd Floor, Steel City House, West Street</t>
  </si>
  <si>
    <t>S1 2GQ</t>
  </si>
  <si>
    <t>info@brmlaw.co.uk</t>
  </si>
  <si>
    <t>Fishman Brand Stone Solicitors</t>
  </si>
  <si>
    <t>Third Floor, West End House</t>
  </si>
  <si>
    <t>11 Hills Place</t>
  </si>
  <si>
    <t>W1F 7SE</t>
  </si>
  <si>
    <t>sh@fishmanbrandstone.com</t>
  </si>
  <si>
    <t>Robinson Ravani &amp; Co Ltd</t>
  </si>
  <si>
    <t>3 High Road</t>
  </si>
  <si>
    <t>Chadwell Heath</t>
  </si>
  <si>
    <t>RM6 6PU</t>
  </si>
  <si>
    <t>gill@robinsonravani.com</t>
  </si>
  <si>
    <t>Pepperells Limited</t>
  </si>
  <si>
    <t>40 Doncaster Road</t>
  </si>
  <si>
    <t>DN15 7RQ</t>
  </si>
  <si>
    <t>propertydepartment@pepperells.com</t>
  </si>
  <si>
    <t>100 Alfred Gelder Street</t>
  </si>
  <si>
    <t>HU1 2AE</t>
  </si>
  <si>
    <t>10 Dudley Street</t>
  </si>
  <si>
    <t>DN31 2AB</t>
  </si>
  <si>
    <t>17-23 West Parade</t>
  </si>
  <si>
    <t>LINCOLN</t>
  </si>
  <si>
    <t>LN1 1NW</t>
  </si>
  <si>
    <t xml:space="preserve">15a Wednesday Market </t>
  </si>
  <si>
    <t>HU17 0DH</t>
  </si>
  <si>
    <t>25-26 St Marys Place</t>
  </si>
  <si>
    <t>NE1 7PQ</t>
  </si>
  <si>
    <t>Willerby</t>
  </si>
  <si>
    <t>1A Kingston Road</t>
  </si>
  <si>
    <t>HU10 6AD</t>
  </si>
  <si>
    <t>1 King Street</t>
  </si>
  <si>
    <t>BARTON UPON HUMBER</t>
  </si>
  <si>
    <t>DN18 5ER</t>
  </si>
  <si>
    <t>25 Wilton Road</t>
  </si>
  <si>
    <t>SW1V 1LW</t>
  </si>
  <si>
    <t>14 Coppergate</t>
  </si>
  <si>
    <t>YORK</t>
  </si>
  <si>
    <t>YO1 9NR</t>
  </si>
  <si>
    <t>Gresley House, Ten Pound Walk</t>
  </si>
  <si>
    <t>DN4 5HX</t>
  </si>
  <si>
    <t>Studio 14, Stuart House</t>
  </si>
  <si>
    <t>St John's Street</t>
  </si>
  <si>
    <t>PE1 5DD</t>
  </si>
  <si>
    <t>17/19 Regent Street</t>
  </si>
  <si>
    <t>S70 2HP</t>
  </si>
  <si>
    <t>barnsley@pepperells.com</t>
  </si>
  <si>
    <t>7 Station Road</t>
  </si>
  <si>
    <t>S71 4EW</t>
  </si>
  <si>
    <t>royston@pepperells.com</t>
  </si>
  <si>
    <t>The Abbey Yard</t>
  </si>
  <si>
    <t>YO8 4PX</t>
  </si>
  <si>
    <t>selby@pepperells.com</t>
  </si>
  <si>
    <t>13 Finkle Street</t>
  </si>
  <si>
    <t>YO8 4DT</t>
  </si>
  <si>
    <t xml:space="preserve">selby@pepperells.com </t>
  </si>
  <si>
    <t>The Cross</t>
  </si>
  <si>
    <t>Sherburn-in-Elmet</t>
  </si>
  <si>
    <t>LS25 6BH</t>
  </si>
  <si>
    <t>sherburn@pepperells.com</t>
  </si>
  <si>
    <t>3 Hardman Street, 10th Floor</t>
  </si>
  <si>
    <t>M3 3HF</t>
  </si>
  <si>
    <t>12 Blandford Place</t>
  </si>
  <si>
    <t>SR7 7EL</t>
  </si>
  <si>
    <t>seaham@pepperells.com</t>
  </si>
  <si>
    <t>Husband Forwood Morgan</t>
  </si>
  <si>
    <t>26 Exchange Street East</t>
  </si>
  <si>
    <t>L2 3PH</t>
  </si>
  <si>
    <t>pcrook@husbandforwoodmorgan.co.uk</t>
  </si>
  <si>
    <t>Crombie Wilkinson Solicitors LLP</t>
  </si>
  <si>
    <t>6 Park Street</t>
  </si>
  <si>
    <t>YO8 4PW</t>
  </si>
  <si>
    <t>lms@crombiewilkinson.co.uk</t>
  </si>
  <si>
    <t xml:space="preserve">Clifford House, 19 Clifford Street </t>
  </si>
  <si>
    <t>YO1 9RJ</t>
  </si>
  <si>
    <t>Forsyth House, 3 Market Place</t>
  </si>
  <si>
    <t>MALTON</t>
  </si>
  <si>
    <t>NORTH YORKSHIRE</t>
  </si>
  <si>
    <t>YO17 7LP</t>
  </si>
  <si>
    <t>Pickering</t>
  </si>
  <si>
    <t>8 Hallgarth</t>
  </si>
  <si>
    <t>YO18 7AP</t>
  </si>
  <si>
    <t>Paul Finn Solicitors Limited</t>
  </si>
  <si>
    <t>Bude</t>
  </si>
  <si>
    <t>EX23 8SY</t>
  </si>
  <si>
    <t>finns@finnlaw.co.uk</t>
  </si>
  <si>
    <t>Seymours Solicitors Limited</t>
  </si>
  <si>
    <t>1 Russell Street</t>
  </si>
  <si>
    <t>CV32 5QA</t>
  </si>
  <si>
    <t>preetilekhi@seymours.co.uk</t>
  </si>
  <si>
    <t>45 Blondvil Street</t>
  </si>
  <si>
    <t>Cheylesmore</t>
  </si>
  <si>
    <t>CV3 5EQ</t>
  </si>
  <si>
    <t>PreetiLekhi@Seymours.co.uk</t>
  </si>
  <si>
    <t>Hek Jones Limited</t>
  </si>
  <si>
    <t>14 Cathedral Road</t>
  </si>
  <si>
    <t>CF11 9LJ</t>
  </si>
  <si>
    <t>ajenkins@hekjones.com</t>
  </si>
  <si>
    <t>Open Law Limited</t>
  </si>
  <si>
    <t>Britannia Mills, Britannia Road</t>
  </si>
  <si>
    <t>HD7 5HE</t>
  </si>
  <si>
    <t>compliance@open-law.co.uk</t>
  </si>
  <si>
    <t>Honley</t>
  </si>
  <si>
    <t>9 Lupton Square</t>
  </si>
  <si>
    <t>HD9 6AD</t>
  </si>
  <si>
    <t>Honley@open-law.co.uk</t>
  </si>
  <si>
    <t>Galloway Hughes LLP</t>
  </si>
  <si>
    <t>Aissela, 46 High Street</t>
  </si>
  <si>
    <t>KT10 9QY</t>
  </si>
  <si>
    <t>kate@gallowayhughes.co.uk</t>
  </si>
  <si>
    <t xml:space="preserve">Richmond </t>
  </si>
  <si>
    <t>18 Water Lane</t>
  </si>
  <si>
    <t>TW9 1TJ</t>
  </si>
  <si>
    <t>53 Davies Street</t>
  </si>
  <si>
    <t>W1K 5JH</t>
  </si>
  <si>
    <t>info@gallowayhughes.co.uk</t>
  </si>
  <si>
    <t>Goodchild Vizard &amp; Smart</t>
  </si>
  <si>
    <t>44 Hazelwood Road</t>
  </si>
  <si>
    <t>NN1 1LN</t>
  </si>
  <si>
    <t>michelle.denton@gvsconveyancing.com</t>
  </si>
  <si>
    <t>Amity Law Limited</t>
  </si>
  <si>
    <t>Second Floor, The Loweswater Suite, Paragon House</t>
  </si>
  <si>
    <t>Paragon Business Park, Chorley New Road</t>
  </si>
  <si>
    <t>BL6 6HG</t>
  </si>
  <si>
    <t>sarah.ryan@amitylaw.co.uk</t>
  </si>
  <si>
    <t>Morris and Bates Limited</t>
  </si>
  <si>
    <t>Ffordd Alexandra</t>
  </si>
  <si>
    <t>Aberystwyth</t>
  </si>
  <si>
    <t>SY23 1PT</t>
  </si>
  <si>
    <t>rjmorris@morrisbates.co.uk</t>
  </si>
  <si>
    <t>Johns Gilbert &amp; Frankton LLP</t>
  </si>
  <si>
    <t>3 Regent Place</t>
  </si>
  <si>
    <t>CV21 2PJ</t>
  </si>
  <si>
    <t>jodi@jgfsolicitors.co.uk</t>
  </si>
  <si>
    <t>Robert Mann Solicitors</t>
  </si>
  <si>
    <t>16 Salop Road</t>
  </si>
  <si>
    <t>Oswestry</t>
  </si>
  <si>
    <t>SY11 2NU</t>
  </si>
  <si>
    <t>robert@mann1.co.uk</t>
  </si>
  <si>
    <t>Rawlins Davy Reeves Limited</t>
  </si>
  <si>
    <t>Heliting House</t>
  </si>
  <si>
    <t>35 Richmond Hill</t>
  </si>
  <si>
    <t>BH2 6HT</t>
  </si>
  <si>
    <t>nwhite@rawlinsdavyreeves.com</t>
  </si>
  <si>
    <t>Beechurst</t>
  </si>
  <si>
    <t>153 High Street</t>
  </si>
  <si>
    <t>BH15 1AU</t>
  </si>
  <si>
    <t>25 East Street</t>
  </si>
  <si>
    <t>BH21 1DU</t>
  </si>
  <si>
    <t>Clark Brookes Turner Cary Limited</t>
  </si>
  <si>
    <t>3rd Floor Guardian House</t>
  </si>
  <si>
    <t>Cronehills Linkway</t>
  </si>
  <si>
    <t>B70 8GS</t>
  </si>
  <si>
    <t>Louise.Thompson@cbtcsolicitors.co.uk</t>
  </si>
  <si>
    <t>Bird and Co Solicitors LLP</t>
  </si>
  <si>
    <t>15 Castlegate</t>
  </si>
  <si>
    <t>Grantham</t>
  </si>
  <si>
    <t>NG31 6SE</t>
  </si>
  <si>
    <t>dchard@birdandco.co.uk</t>
  </si>
  <si>
    <t>38 Kirk Gate</t>
  </si>
  <si>
    <t>NG24 1AB</t>
  </si>
  <si>
    <t>ConveyancingSupport@birdandco.co.uk</t>
  </si>
  <si>
    <t>First Floor, Unit 2 Kingsley Court</t>
  </si>
  <si>
    <t>Kingsley Road</t>
  </si>
  <si>
    <t>LN6 3TA</t>
  </si>
  <si>
    <t xml:space="preserve">Gordon Law Limited </t>
  </si>
  <si>
    <t>183 Watling Street West</t>
  </si>
  <si>
    <t>Towcester</t>
  </si>
  <si>
    <t>NN12 6BX</t>
  </si>
  <si>
    <t>info@gordonlaw.co.uk</t>
  </si>
  <si>
    <t>Vine Orchards LLP</t>
  </si>
  <si>
    <t>Trinity Chambers, 49 Rolle Street</t>
  </si>
  <si>
    <t>EX8 2RS</t>
  </si>
  <si>
    <t>gilesbowen@vineorchards.co.uk</t>
  </si>
  <si>
    <t>Mulcahy Smith Limited</t>
  </si>
  <si>
    <t>23 Regent Terrace</t>
  </si>
  <si>
    <t>NE8 1LU</t>
  </si>
  <si>
    <t>christian.swinburne@mulcahysmith.co.uk</t>
  </si>
  <si>
    <t>Barwells Legal Limited</t>
  </si>
  <si>
    <t>6 Hyde Gardens</t>
  </si>
  <si>
    <t>BN21 4PN</t>
  </si>
  <si>
    <t>jemma.smith@barwells.com</t>
  </si>
  <si>
    <t>Seaford</t>
  </si>
  <si>
    <t>10 Sutton Park Road</t>
  </si>
  <si>
    <t>BN25 1RB</t>
  </si>
  <si>
    <t>conveyancing-sf@barwells.com</t>
  </si>
  <si>
    <t>Newhaven</t>
  </si>
  <si>
    <t>19 High Street</t>
  </si>
  <si>
    <t>BN9 9PU</t>
  </si>
  <si>
    <t>conveyancing-nh@barwells.com</t>
  </si>
  <si>
    <t>2 Market Square</t>
  </si>
  <si>
    <t>BN27 1AG</t>
  </si>
  <si>
    <t>conveyancing-hs@barwells.com</t>
  </si>
  <si>
    <t>Peacehaven</t>
  </si>
  <si>
    <t>238 South Coast Road</t>
  </si>
  <si>
    <t>BN10 8JS</t>
  </si>
  <si>
    <t>conveyancing-ph@barwells.com</t>
  </si>
  <si>
    <t>Lawrence Stephens Limited</t>
  </si>
  <si>
    <t>50 Farringdon Road</t>
  </si>
  <si>
    <t>EC1M 3HE</t>
  </si>
  <si>
    <t>gpalos@lawstep.co.uk</t>
  </si>
  <si>
    <t>SureMove Property Lawyers Limited</t>
  </si>
  <si>
    <t>11 North Street</t>
  </si>
  <si>
    <t>Bourne</t>
  </si>
  <si>
    <t>PE10 9AE</t>
  </si>
  <si>
    <t>laura.boullemier@suremove.uk.com</t>
  </si>
  <si>
    <t>HCB Solicitors Ltd</t>
  </si>
  <si>
    <t>20 Lichfield Street</t>
  </si>
  <si>
    <t>WS1 1TJ</t>
  </si>
  <si>
    <t>resiNMS@hcbgroup.com</t>
  </si>
  <si>
    <t>13 Swan Street</t>
  </si>
  <si>
    <t>Alcester</t>
  </si>
  <si>
    <t>B49 5DP</t>
  </si>
  <si>
    <t>Mill House, 38 Dam Street</t>
  </si>
  <si>
    <t>WS13 6AA</t>
  </si>
  <si>
    <t>Croft House, Moons Moat Drive</t>
  </si>
  <si>
    <t>B98 9HN</t>
  </si>
  <si>
    <t>679 Warwick road</t>
  </si>
  <si>
    <t>16 Wrens Court, Lower Queen Street</t>
  </si>
  <si>
    <t>B72 1RT</t>
  </si>
  <si>
    <t>Belvoir Chambers, 17 Bowling Green Street</t>
  </si>
  <si>
    <t>LE1 6AS</t>
  </si>
  <si>
    <t>Worsley</t>
  </si>
  <si>
    <t>2 Walter Street</t>
  </si>
  <si>
    <t>M28 3ZG</t>
  </si>
  <si>
    <t>Whitefield</t>
  </si>
  <si>
    <t>114 Bury New Road</t>
  </si>
  <si>
    <t>M45 6AD</t>
  </si>
  <si>
    <t>whitefield@hcbgroup.com</t>
  </si>
  <si>
    <t>3-5 King Street</t>
  </si>
  <si>
    <t>WN7 4LP</t>
  </si>
  <si>
    <t>71 Sankey Street</t>
  </si>
  <si>
    <t>WA1 1SL</t>
  </si>
  <si>
    <t>14 Library Street</t>
  </si>
  <si>
    <t>WN1 1NZ</t>
  </si>
  <si>
    <t>Westhoughton</t>
  </si>
  <si>
    <t>BL5 3AG</t>
  </si>
  <si>
    <t>Graylaw House, 21 Goldington Road</t>
  </si>
  <si>
    <t>MK40 3JY</t>
  </si>
  <si>
    <t>297-299 Kenton Lane</t>
  </si>
  <si>
    <t>HA3 8RR</t>
  </si>
  <si>
    <t>8 St Thomas' Road</t>
  </si>
  <si>
    <t>Stopsley</t>
  </si>
  <si>
    <t>LU2 7UY</t>
  </si>
  <si>
    <t>16 Castilian Street</t>
  </si>
  <si>
    <t>Bridge Court</t>
  </si>
  <si>
    <t>64 Bridge Street</t>
  </si>
  <si>
    <t>WR11 4RY</t>
  </si>
  <si>
    <t>evesham@hcbgroup.com</t>
  </si>
  <si>
    <t>Read Dunn Connell Limited</t>
  </si>
  <si>
    <t>30 Park Road</t>
  </si>
  <si>
    <t>Bingley</t>
  </si>
  <si>
    <t>BD16 4JD</t>
  </si>
  <si>
    <t>Lynn@rdcsolicitors.co.uk</t>
  </si>
  <si>
    <t>9 New Brook Street</t>
  </si>
  <si>
    <t xml:space="preserve">Ilkley </t>
  </si>
  <si>
    <t>LS29 8DQ</t>
  </si>
  <si>
    <t>Caversham Solicitors Limited</t>
  </si>
  <si>
    <t>51a Church Street</t>
  </si>
  <si>
    <t>RG4 8AX</t>
  </si>
  <si>
    <t>david@cavershamsolicitors.co.uk</t>
  </si>
  <si>
    <t>BB Legal Limited</t>
  </si>
  <si>
    <t>81 Fountain Street,</t>
  </si>
  <si>
    <t>M2 2EE</t>
  </si>
  <si>
    <t>lenderpanel@birchallblackburn.co.uk</t>
  </si>
  <si>
    <t>Merchant House</t>
  </si>
  <si>
    <t>38-46 Avenham Street</t>
  </si>
  <si>
    <t>PR1 3BN</t>
  </si>
  <si>
    <t>2nd Floor, Clare House</t>
  </si>
  <si>
    <t>166 Lord Street</t>
  </si>
  <si>
    <t>PR9 0QA</t>
  </si>
  <si>
    <t>Spire Solicitors LLP</t>
  </si>
  <si>
    <t>5-7 Church Street</t>
  </si>
  <si>
    <t>NR18 0PP</t>
  </si>
  <si>
    <t>craig.ward@spiresolicitors.co.uk</t>
  </si>
  <si>
    <t>3 Burgh Road</t>
  </si>
  <si>
    <t>Aylsham</t>
  </si>
  <si>
    <t>NR11 6AH</t>
  </si>
  <si>
    <t>Holland Court</t>
  </si>
  <si>
    <t>The Close</t>
  </si>
  <si>
    <t>NR1 4DY</t>
  </si>
  <si>
    <t>The Priory, Church Street</t>
  </si>
  <si>
    <t>Dereham</t>
  </si>
  <si>
    <t>NR19 1DW</t>
  </si>
  <si>
    <t>The Pines, 50 Connaught Road</t>
  </si>
  <si>
    <t>Attleborough</t>
  </si>
  <si>
    <t>NR17 2BP</t>
  </si>
  <si>
    <t>2 Victoria Road</t>
  </si>
  <si>
    <t>Diss</t>
  </si>
  <si>
    <t>IP22 4EY</t>
  </si>
  <si>
    <t>Watton</t>
  </si>
  <si>
    <t>IP25 6AE</t>
  </si>
  <si>
    <t>Wallace Robinson &amp; Morgan Limited</t>
  </si>
  <si>
    <t>4 Drury Lane</t>
  </si>
  <si>
    <t>B91 3BD</t>
  </si>
  <si>
    <t>timlangford@wallacerobinson.co.uk</t>
  </si>
  <si>
    <t>Dorridge</t>
  </si>
  <si>
    <t>17 - 19 Station Approach</t>
  </si>
  <si>
    <t>B93 8JA</t>
  </si>
  <si>
    <t>dorridge@wallacerobinson.co.uk</t>
  </si>
  <si>
    <t>Hobson &amp; Latham Limited</t>
  </si>
  <si>
    <t xml:space="preserve">47 Gildredge Road </t>
  </si>
  <si>
    <t>jan@hobsonandlatham.co.uk</t>
  </si>
  <si>
    <t>Evans Cook Solicitors</t>
  </si>
  <si>
    <t>62 Broad Green</t>
  </si>
  <si>
    <t>NN8 4LQ</t>
  </si>
  <si>
    <t>info@evanscook.co.uk</t>
  </si>
  <si>
    <t>Milford &amp; Dormor Solicitors LLP</t>
  </si>
  <si>
    <t>45 Fore Street</t>
  </si>
  <si>
    <t>CHARD</t>
  </si>
  <si>
    <t>SOMERSET</t>
  </si>
  <si>
    <t>TA20 1PT</t>
  </si>
  <si>
    <t>c.burdett@milfordanddormor.co.uk</t>
  </si>
  <si>
    <t>Silver Street</t>
  </si>
  <si>
    <t>Axminster</t>
  </si>
  <si>
    <t>EX13 5AJ</t>
  </si>
  <si>
    <t>axminster@milfordanddormor.co.uk</t>
  </si>
  <si>
    <t>Seaton House, Marine Place</t>
  </si>
  <si>
    <t>EX12 2QJ</t>
  </si>
  <si>
    <t>seaton@milfordanddormor.co.uk</t>
  </si>
  <si>
    <t xml:space="preserve">Old Bank Buildings, </t>
  </si>
  <si>
    <t>TA19 0AJ</t>
  </si>
  <si>
    <t>ilminster@milfordanddormor.co.uk</t>
  </si>
  <si>
    <t>Banner Jones Ltd</t>
  </si>
  <si>
    <t>24 Glumangate</t>
  </si>
  <si>
    <t>S40 1UA</t>
  </si>
  <si>
    <t>lenders@bannerjones.co.uk</t>
  </si>
  <si>
    <t>3rd Floor, 11 Leopold Street</t>
  </si>
  <si>
    <t>S1 2GY</t>
  </si>
  <si>
    <t>Lenders@bannerjones.co.uk</t>
  </si>
  <si>
    <t>Corner House, Union Street</t>
  </si>
  <si>
    <t>NG18 1RP</t>
  </si>
  <si>
    <t>1 Sheffield Road</t>
  </si>
  <si>
    <t>S18 2DH</t>
  </si>
  <si>
    <t>Avery Knights Solicitors Limited</t>
  </si>
  <si>
    <t>West Midlands House, Gipsy Lane</t>
  </si>
  <si>
    <t>Willenhall</t>
  </si>
  <si>
    <t>WV13 2HA</t>
  </si>
  <si>
    <t>info@averyknights.com</t>
  </si>
  <si>
    <t>48A London Road</t>
  </si>
  <si>
    <t>Datchet</t>
  </si>
  <si>
    <t>SL3 9JR</t>
  </si>
  <si>
    <t>Davies and Partners Solicitors Limited</t>
  </si>
  <si>
    <t>250 Aztec West, Park Avenue</t>
  </si>
  <si>
    <t xml:space="preserve">Almondsbury, </t>
  </si>
  <si>
    <t>BS32 4TR</t>
  </si>
  <si>
    <t>kerry.raymond@daviesandpartners.com</t>
  </si>
  <si>
    <t>Rowan House, Barnett Way</t>
  </si>
  <si>
    <t>GL4 3RT</t>
  </si>
  <si>
    <t>Latham House, 33-34 Paradise Street</t>
  </si>
  <si>
    <t>B1 2AJ</t>
  </si>
  <si>
    <t>57 Queen Anne Street</t>
  </si>
  <si>
    <t>W1G 9JR</t>
  </si>
  <si>
    <t>Town &amp; Country Property Lawyers</t>
  </si>
  <si>
    <t>10 Imperial Square</t>
  </si>
  <si>
    <t>paul@tcountry.co.uk</t>
  </si>
  <si>
    <t>Shakespeare Martineau LLP</t>
  </si>
  <si>
    <t>No 1 Colmore Square</t>
  </si>
  <si>
    <t>B4 6AA</t>
  </si>
  <si>
    <t>Amit.patel@shma.co.uk</t>
  </si>
  <si>
    <t>Bridgeway House, Bridgeway</t>
  </si>
  <si>
    <t>CV37 6YX</t>
  </si>
  <si>
    <t>One Colton Square</t>
  </si>
  <si>
    <t>II Exchange Square, 21 North Fourth Street</t>
  </si>
  <si>
    <t>MK9 1HL</t>
  </si>
  <si>
    <t>Waterfront House, Waterfront Plaza</t>
  </si>
  <si>
    <t>35 Station Street</t>
  </si>
  <si>
    <t>19th Floor, The Shard</t>
  </si>
  <si>
    <t xml:space="preserve">32 London Bridge Street, </t>
  </si>
  <si>
    <t>SE1 9SG</t>
  </si>
  <si>
    <t>info@shma.co.uk</t>
  </si>
  <si>
    <t>One Temple Quay</t>
  </si>
  <si>
    <t>BS1 6DZ</t>
  </si>
  <si>
    <t>12-14 St Mary’s Street</t>
  </si>
  <si>
    <t>LN5 7EQ</t>
  </si>
  <si>
    <t>3 Bell Lane</t>
  </si>
  <si>
    <t>Lewes</t>
  </si>
  <si>
    <t>BN7 1JU</t>
  </si>
  <si>
    <t>2nd Floor, Ivy House, Ivy Terrace</t>
  </si>
  <si>
    <t>BN21 4QT</t>
  </si>
  <si>
    <t>Medway House, 18-22 Cantelupe Road</t>
  </si>
  <si>
    <t>Jubilee House, 1 Warwick Road</t>
  </si>
  <si>
    <t>BN25 1RS</t>
  </si>
  <si>
    <t>24-26 High Street</t>
  </si>
  <si>
    <t>Storrington</t>
  </si>
  <si>
    <t>RH20 4DU</t>
  </si>
  <si>
    <t>Unit 2, Peveril Court, 6-8 London Road</t>
  </si>
  <si>
    <t>RH10 8JE</t>
  </si>
  <si>
    <t>Second Floor Offices, 44/46 Old Steine</t>
  </si>
  <si>
    <t>BN1 1NH</t>
  </si>
  <si>
    <t>lenderpanels@mayowynnebaxter.co.uk</t>
  </si>
  <si>
    <t>10A Horsham Avenue</t>
  </si>
  <si>
    <t>BN10 8LL</t>
  </si>
  <si>
    <t>1 Little London</t>
  </si>
  <si>
    <t>PO19 1PH</t>
  </si>
  <si>
    <t>TM Fortis Solicitors Limited</t>
  </si>
  <si>
    <t>More House, 429 Chester Road</t>
  </si>
  <si>
    <t>M16 9HA</t>
  </si>
  <si>
    <t>mmiah@tmfortis.co.uk</t>
  </si>
  <si>
    <t>Ison Harrison Limited</t>
  </si>
  <si>
    <t>Duke House</t>
  </si>
  <si>
    <t>54 Wellington Street</t>
  </si>
  <si>
    <t>LS1 2EE</t>
  </si>
  <si>
    <t>Rachel.Warsop@isonharrison.co.uk</t>
  </si>
  <si>
    <t>48 Austhorpe Road</t>
  </si>
  <si>
    <t>LS15 8DX</t>
  </si>
  <si>
    <t>crossgates@isonharrison.co.uk</t>
  </si>
  <si>
    <t>LS25 1DS</t>
  </si>
  <si>
    <t>garforth@isonharrison.co.uk</t>
  </si>
  <si>
    <t>65 Victoria Road</t>
  </si>
  <si>
    <t>LS20 8DQ</t>
  </si>
  <si>
    <t>guiseley@isonharrison.co.uk</t>
  </si>
  <si>
    <t>46a The Grove</t>
  </si>
  <si>
    <t>LS29 9EE</t>
  </si>
  <si>
    <t>ilkley@isonharrison.co.uk</t>
  </si>
  <si>
    <t>70a Queen Street</t>
  </si>
  <si>
    <t>mail@isonharrison.co.uk</t>
  </si>
  <si>
    <t>Chapel Allerton</t>
  </si>
  <si>
    <t>120 Harrogate Road</t>
  </si>
  <si>
    <t>LS7 4NY</t>
  </si>
  <si>
    <t>hr@isonharrison.co.uk</t>
  </si>
  <si>
    <t>Lexmith Chambers, Bradley Street</t>
  </si>
  <si>
    <t>WF10 1HP</t>
  </si>
  <si>
    <t>property@ih.co.uk</t>
  </si>
  <si>
    <t>Norwood House</t>
  </si>
  <si>
    <t>Stuart Road</t>
  </si>
  <si>
    <t>WF8 1BT</t>
  </si>
  <si>
    <t>pontefract@isonharrison.co.uk</t>
  </si>
  <si>
    <t>24 - 26 Lidget Hill</t>
  </si>
  <si>
    <t>LS28 7DR</t>
  </si>
  <si>
    <t>pudsey@isonharrison.co.uk</t>
  </si>
  <si>
    <t>Liddy's Solicitors Limited</t>
  </si>
  <si>
    <t>2 King Street</t>
  </si>
  <si>
    <t>WF1 2SQ</t>
  </si>
  <si>
    <t>conveyancing@liddys-solicitors.co.uk</t>
  </si>
  <si>
    <t>60 John William Street</t>
  </si>
  <si>
    <t>HD1 1ER</t>
  </si>
  <si>
    <t xml:space="preserve">Otley </t>
  </si>
  <si>
    <t>LS21 3AF</t>
  </si>
  <si>
    <t>Nigel.cowley@isonharrison.co.uk</t>
  </si>
  <si>
    <t>23 Micklegate</t>
  </si>
  <si>
    <t>YO1 6JH</t>
  </si>
  <si>
    <t>york@isonharrison.co.uk</t>
  </si>
  <si>
    <t>Queens Court</t>
  </si>
  <si>
    <t>Regent Street</t>
  </si>
  <si>
    <t>S70 2EG</t>
  </si>
  <si>
    <t>barnsley@isonharrison.co.uk</t>
  </si>
  <si>
    <t>122-126 Main Street</t>
  </si>
  <si>
    <t>BD16 2HL</t>
  </si>
  <si>
    <t>bingley@isonharrison.co.uk</t>
  </si>
  <si>
    <t>6A Albert Street</t>
  </si>
  <si>
    <t>HG1 1JG</t>
  </si>
  <si>
    <t>harrogate@isonharrison.co.uk</t>
  </si>
  <si>
    <t>4-6 Cross Street</t>
  </si>
  <si>
    <t>WF1 3BW</t>
  </si>
  <si>
    <t>Wakefield@isonharrison.co.uk</t>
  </si>
  <si>
    <t>12A South Parade</t>
  </si>
  <si>
    <t>DN1 2DY</t>
  </si>
  <si>
    <t>doncaster@isonharrison.co.uk</t>
  </si>
  <si>
    <t>2 Queensbury Court, Brighouse Road</t>
  </si>
  <si>
    <t>Queensbury</t>
  </si>
  <si>
    <t>BD13 1FF</t>
  </si>
  <si>
    <t>queensbury@isonharrison.co.uk</t>
  </si>
  <si>
    <t>29-31 Brook Street</t>
  </si>
  <si>
    <t>YO8 4AL</t>
  </si>
  <si>
    <t>selby@isonharrison.co.uk</t>
  </si>
  <si>
    <t>Clifton House, Clifton Road</t>
  </si>
  <si>
    <t>HD6 1SL</t>
  </si>
  <si>
    <t>brighouse@isonharrison.co.uk</t>
  </si>
  <si>
    <t>BD23 1AJ</t>
  </si>
  <si>
    <t>skipton@isonharrison.co.uk</t>
  </si>
  <si>
    <t>Penistone</t>
  </si>
  <si>
    <t>1 Crown House, Market Street</t>
  </si>
  <si>
    <t>S36 6BZ</t>
  </si>
  <si>
    <t>penistone@isonharrison.co.uk</t>
  </si>
  <si>
    <t>Hoyland</t>
  </si>
  <si>
    <t>34 Market Street</t>
  </si>
  <si>
    <t>S74 9QR</t>
  </si>
  <si>
    <t>hoyland@isonharrison.co.uk</t>
  </si>
  <si>
    <t>Oak Street</t>
  </si>
  <si>
    <t>Suite 106/107 Cleaveland Business Centre</t>
  </si>
  <si>
    <t>TS1  2RQ</t>
  </si>
  <si>
    <t>middlesbrough@isonharrison.co.uk</t>
  </si>
  <si>
    <t>Cubo Mezzanine</t>
  </si>
  <si>
    <t>No. 1 Spinningfields</t>
  </si>
  <si>
    <t>manchester@isonharrison.co.uk</t>
  </si>
  <si>
    <t>Kingfields Solicitors Limited</t>
  </si>
  <si>
    <t>The Old Court House, London Road</t>
  </si>
  <si>
    <t>Ascot</t>
  </si>
  <si>
    <t>SL5 7EN</t>
  </si>
  <si>
    <t>zalauddin@kingfields.co.uk</t>
  </si>
  <si>
    <t>Hanne &amp; Co Solicitors LLP</t>
  </si>
  <si>
    <t>The Candle Factory, 112 York Road</t>
  </si>
  <si>
    <t>Battersea</t>
  </si>
  <si>
    <t>SW11 3RS</t>
  </si>
  <si>
    <t>sc@hanne.co.uk</t>
  </si>
  <si>
    <t>44 Southampton Buildings</t>
  </si>
  <si>
    <t>WC2A 1AP</t>
  </si>
  <si>
    <t>SC@HANNE.CO.UK</t>
  </si>
  <si>
    <t>Simply Conveyancing Property Lawyers Limited</t>
  </si>
  <si>
    <t>3 Caxton Close</t>
  </si>
  <si>
    <t>NN11 8RT</t>
  </si>
  <si>
    <t>gwort@simplypropertylawyers.co.uk</t>
  </si>
  <si>
    <t>Taylor Rose Limited</t>
  </si>
  <si>
    <t>69 Carter Lane</t>
  </si>
  <si>
    <t>lenderpanelteam@taylor-rose.co.uk</t>
  </si>
  <si>
    <t>Worldwide House</t>
  </si>
  <si>
    <t>Thorpe Wood</t>
  </si>
  <si>
    <t>PE3 6SB</t>
  </si>
  <si>
    <t>112 Timber Wharf</t>
  </si>
  <si>
    <t>32 Worsley Street</t>
  </si>
  <si>
    <t>M15 4NX</t>
  </si>
  <si>
    <t>Thremhall Park, Start Hill</t>
  </si>
  <si>
    <t>CM22 7WE</t>
  </si>
  <si>
    <t>1st and 2nd Floor, 5-7 Railway Street</t>
  </si>
  <si>
    <t>SG14 1BG</t>
  </si>
  <si>
    <t>267A Broadway</t>
  </si>
  <si>
    <t>DA6 8DB</t>
  </si>
  <si>
    <t>1st Floor Clarendon Business Centre</t>
  </si>
  <si>
    <t>Ealing Cross</t>
  </si>
  <si>
    <t>85 Uxbridge Road, Ealing</t>
  </si>
  <si>
    <t>Foundry, 78 The Beacon</t>
  </si>
  <si>
    <t>The Foundry, 3 Ellen Street</t>
  </si>
  <si>
    <t>BN3 3LN</t>
  </si>
  <si>
    <t xml:space="preserve">Interchange House, </t>
  </si>
  <si>
    <t>CR0 2RD</t>
  </si>
  <si>
    <t>138 High Street</t>
  </si>
  <si>
    <t>TN13 1XE</t>
  </si>
  <si>
    <t>Oru, 7 Throwley Way</t>
  </si>
  <si>
    <t>SM1 4AF</t>
  </si>
  <si>
    <t>Swan Court</t>
  </si>
  <si>
    <t>11 Worple Road</t>
  </si>
  <si>
    <t>SW19 4JS</t>
  </si>
  <si>
    <t>2B Stoke Abbott Road</t>
  </si>
  <si>
    <t>BN11 1HJ</t>
  </si>
  <si>
    <t>The White House, Wilderspool Park</t>
  </si>
  <si>
    <t>Greenall’s Avenue</t>
  </si>
  <si>
    <t>WA4 6HL</t>
  </si>
  <si>
    <t>Fulham</t>
  </si>
  <si>
    <t>Bedford House</t>
  </si>
  <si>
    <t>Fulham High Street</t>
  </si>
  <si>
    <t>SW6 3JW</t>
  </si>
  <si>
    <t>Guilford</t>
  </si>
  <si>
    <t>Parallel House, 32 London Road</t>
  </si>
  <si>
    <t>GU1 2AB</t>
  </si>
  <si>
    <t>Cambridge House, South Block, Henry Street</t>
  </si>
  <si>
    <t>Paul Bullen &amp; Co</t>
  </si>
  <si>
    <t>10 Albion Place</t>
  </si>
  <si>
    <t>DN1 2EG</t>
  </si>
  <si>
    <t>pbullen@paulbullen.co.uk</t>
  </si>
  <si>
    <t>Thatcher &amp; Hallam LLP</t>
  </si>
  <si>
    <t>Island House</t>
  </si>
  <si>
    <t>Midsomer Norton</t>
  </si>
  <si>
    <t>Radstock</t>
  </si>
  <si>
    <t>BA3 2HJ</t>
  </si>
  <si>
    <t>koakes@th-law.co.uk</t>
  </si>
  <si>
    <t>Frome</t>
  </si>
  <si>
    <t>26 King Street</t>
  </si>
  <si>
    <t>BA11 1BH</t>
  </si>
  <si>
    <t>caroline.polder@ames-kent.co.uk</t>
  </si>
  <si>
    <t>Lee Bolton Monier-Williams LLP</t>
  </si>
  <si>
    <t>1 The Sanctuary</t>
  </si>
  <si>
    <t>SW1P 3JT</t>
  </si>
  <si>
    <t>Margurita.Geary@lbmw.com</t>
  </si>
  <si>
    <t>Glover Priest Solicitors Limited</t>
  </si>
  <si>
    <t>56 Springfield Road</t>
  </si>
  <si>
    <t>B14 7DY</t>
  </si>
  <si>
    <t>Emma.pulford@gloverpriest.com</t>
  </si>
  <si>
    <t>817 Hagley Road West</t>
  </si>
  <si>
    <t>Quinton</t>
  </si>
  <si>
    <t>B32 1AD</t>
  </si>
  <si>
    <t>info@gloverpriest.com</t>
  </si>
  <si>
    <t>The Old Court House, 7-9 Hagley Road</t>
  </si>
  <si>
    <t>DY8 1QL</t>
  </si>
  <si>
    <t>32a Sheep Street</t>
  </si>
  <si>
    <t>NN8 1BS</t>
  </si>
  <si>
    <t>43 Albert Road</t>
  </si>
  <si>
    <t>B79 7JS</t>
  </si>
  <si>
    <t>info@argylessolicitors.co.uk</t>
  </si>
  <si>
    <t>Brook House, 24 Dam Street</t>
  </si>
  <si>
    <t xml:space="preserve">info@gloverpriest.com </t>
  </si>
  <si>
    <t>19 The Point</t>
  </si>
  <si>
    <t>LE16 7QU</t>
  </si>
  <si>
    <t>Dawson and Burgess</t>
  </si>
  <si>
    <t>1 South Parade</t>
  </si>
  <si>
    <t>gc@dawsonandburgess.co.uk</t>
  </si>
  <si>
    <t xml:space="preserve">33 Church Street </t>
  </si>
  <si>
    <t xml:space="preserve">Armthorpe </t>
  </si>
  <si>
    <t xml:space="preserve">Doncaster </t>
  </si>
  <si>
    <t>DN3 3AE</t>
  </si>
  <si>
    <t>32 South Parade</t>
  </si>
  <si>
    <t>Thorne</t>
  </si>
  <si>
    <t>DN8 5DX</t>
  </si>
  <si>
    <t>15 Paradise Place</t>
  </si>
  <si>
    <t>DN14 5DL</t>
  </si>
  <si>
    <t>Kundert Solicitors LLP</t>
  </si>
  <si>
    <t>4 The Quadrant</t>
  </si>
  <si>
    <t>andrea@kundert.co.uk</t>
  </si>
  <si>
    <t>26 Regent Street</t>
  </si>
  <si>
    <t>CV21 2PS</t>
  </si>
  <si>
    <t>paul@kundert.co.uk</t>
  </si>
  <si>
    <t>Ward &amp; Rider Ltd</t>
  </si>
  <si>
    <t>2 Manor Yard, New Union Street</t>
  </si>
  <si>
    <t>CV1 2PF</t>
  </si>
  <si>
    <t>Jane.Eastgate@wardrider.co.uk</t>
  </si>
  <si>
    <t>Regent House, 50 Holly Walk</t>
  </si>
  <si>
    <t>CV32 4HY</t>
  </si>
  <si>
    <t>Griffin House, 76 Warwick Road</t>
  </si>
  <si>
    <t>CV8 1HL</t>
  </si>
  <si>
    <t>Austin and Carnley Solicitors Ltd</t>
  </si>
  <si>
    <t>Bridge House, Bridge Street</t>
  </si>
  <si>
    <t>LU7 1AH</t>
  </si>
  <si>
    <t>jeaniem@austinandcarnley.co.uk</t>
  </si>
  <si>
    <t>Bramsdon &amp; Childs</t>
  </si>
  <si>
    <t>141 Elm Grove</t>
  </si>
  <si>
    <t>PO5 1HR</t>
  </si>
  <si>
    <t>jr@bramsdonandchilds.com</t>
  </si>
  <si>
    <t>The Square,</t>
  </si>
  <si>
    <t>SO32 1GJ</t>
  </si>
  <si>
    <t>bw@bramsdonandchilds.com</t>
  </si>
  <si>
    <t>Fair Oak</t>
  </si>
  <si>
    <t>Unit 10 Vicarage Farm Business Park</t>
  </si>
  <si>
    <t>Winchester Road</t>
  </si>
  <si>
    <t>SO50 7HD</t>
  </si>
  <si>
    <t>hr@bramsdonandchilds.com</t>
  </si>
  <si>
    <t>Keystone Law Limited</t>
  </si>
  <si>
    <t>48 Chancery Lane</t>
  </si>
  <si>
    <t>WC2A 1JF</t>
  </si>
  <si>
    <t>Tracy.Rosewarne@keystonelaw.co.uk</t>
  </si>
  <si>
    <t>Shepherd &amp; Co Solicitors Limited</t>
  </si>
  <si>
    <t>184 Watling Street East</t>
  </si>
  <si>
    <t>NN12 6DB</t>
  </si>
  <si>
    <t>legal@shepherdandco.com</t>
  </si>
  <si>
    <t>Wake Smith Solicitors Limited</t>
  </si>
  <si>
    <t>No 1 Velocity</t>
  </si>
  <si>
    <t>2 Tenter Street</t>
  </si>
  <si>
    <t>S1 4BY</t>
  </si>
  <si>
    <t>lisa.molinari@wake-smith.com</t>
  </si>
  <si>
    <t>Wace Morgan Limited</t>
  </si>
  <si>
    <t>Sequoia House, Anchorage Avenue</t>
  </si>
  <si>
    <t>help@wmlaw.co.uk</t>
  </si>
  <si>
    <t>Pure Law LLP</t>
  </si>
  <si>
    <t>Arcadia House, Warley Hill Business Park, The Drive</t>
  </si>
  <si>
    <t>Great Warley</t>
  </si>
  <si>
    <t>Brentwood</t>
  </si>
  <si>
    <t>CM13 3BE</t>
  </si>
  <si>
    <t>nmichaelides@purelawllp.co.uk</t>
  </si>
  <si>
    <t>Walker Foster Limited</t>
  </si>
  <si>
    <t>3 High Street</t>
  </si>
  <si>
    <t>BD23 1AA</t>
  </si>
  <si>
    <t>jls@walkerfoster.com</t>
  </si>
  <si>
    <t>Silsden</t>
  </si>
  <si>
    <t>63 Kirkgate</t>
  </si>
  <si>
    <t>BD20 0PB</t>
  </si>
  <si>
    <t>info@walkerfoster.com</t>
  </si>
  <si>
    <t>Craven House</t>
  </si>
  <si>
    <t>New town</t>
  </si>
  <si>
    <t>BB18 5UQ</t>
  </si>
  <si>
    <t>27 Riddings Road</t>
  </si>
  <si>
    <t>LS29 9LX</t>
  </si>
  <si>
    <t>Settle</t>
  </si>
  <si>
    <t>BD24 9EX</t>
  </si>
  <si>
    <t>Century House, Thornfield Business Park</t>
  </si>
  <si>
    <t>Standard Way Business Park</t>
  </si>
  <si>
    <t>DL6 2XQ</t>
  </si>
  <si>
    <t>First Floor, High Point House,</t>
  </si>
  <si>
    <t>7 Victoria Avenue</t>
  </si>
  <si>
    <t>HG1 1EQ</t>
  </si>
  <si>
    <t>Walters &amp; Plaskitt Solicitors incorporating Leslie N Dodd &amp; Co</t>
  </si>
  <si>
    <t>Bews Corner, 2 - 6 Westport Road</t>
  </si>
  <si>
    <t>Burslem</t>
  </si>
  <si>
    <t>ST6 4AW</t>
  </si>
  <si>
    <t>steve@wpsolicitors.co.uk</t>
  </si>
  <si>
    <t>Brighouses (Incorporating Bellis Kennan Gribble &amp; Co)</t>
  </si>
  <si>
    <t>Clarendon House, St. Georges Place, Lord Street</t>
  </si>
  <si>
    <t>PR9 0AJ</t>
  </si>
  <si>
    <t>dianeabram@brighouses.co.uk</t>
  </si>
  <si>
    <t>DJM Law Limited</t>
  </si>
  <si>
    <t>16 Axis Court</t>
  </si>
  <si>
    <t>Mallard Way</t>
  </si>
  <si>
    <t xml:space="preserve">Swansea Vale </t>
  </si>
  <si>
    <t>Swansea , West Glamorgan</t>
  </si>
  <si>
    <t>SA7 0AJ</t>
  </si>
  <si>
    <t>hk@djmlaw.co.uk</t>
  </si>
  <si>
    <t>Labrums Solicitors LLP</t>
  </si>
  <si>
    <t>New Barnes Mill</t>
  </si>
  <si>
    <t>Cottonmill Lane</t>
  </si>
  <si>
    <t>AL1 2HA</t>
  </si>
  <si>
    <t>seschenburg@labrums.co.uk</t>
  </si>
  <si>
    <t>Attwells Solicitors LLP</t>
  </si>
  <si>
    <t>St. Vincent House, 1 Cutler Street</t>
  </si>
  <si>
    <t>IP1 1UQ</t>
  </si>
  <si>
    <t>laura.catania@attwells.com</t>
  </si>
  <si>
    <t>111 Baker Street</t>
  </si>
  <si>
    <t>W1U 6SG</t>
  </si>
  <si>
    <t>18 North Hill</t>
  </si>
  <si>
    <t>CO1 1DZ</t>
  </si>
  <si>
    <t>Barton House, 84 Thoroughfare</t>
  </si>
  <si>
    <t>IP12 1AL</t>
  </si>
  <si>
    <t>Willsons Solicitors</t>
  </si>
  <si>
    <t>Coton Chambers</t>
  </si>
  <si>
    <t>35 Coton Road</t>
  </si>
  <si>
    <t>Nuneaton</t>
  </si>
  <si>
    <t>CV11 5TW</t>
  </si>
  <si>
    <t>ptustain@willsonslegal.co.uk</t>
  </si>
  <si>
    <t>Pennine Kennedy Limited</t>
  </si>
  <si>
    <t>Trinity Offices, 114 Northenden Road</t>
  </si>
  <si>
    <t>M33 3HD</t>
  </si>
  <si>
    <t>reception@penninekennedy.co.uk</t>
  </si>
  <si>
    <t>The GPT Law Practice Solicitors</t>
  </si>
  <si>
    <t>799 Harrow Road</t>
  </si>
  <si>
    <t>Sudbury Town</t>
  </si>
  <si>
    <t>Wembley</t>
  </si>
  <si>
    <t>HA0 2LR</t>
  </si>
  <si>
    <t>sukhneel@gptlawpractice.com</t>
  </si>
  <si>
    <t>Hadfield &amp; Co.</t>
  </si>
  <si>
    <t>1 Central Avenue</t>
  </si>
  <si>
    <t>Welling</t>
  </si>
  <si>
    <t>DA16 3AX</t>
  </si>
  <si>
    <t>ksampson@hadfieldsolicitors.co.uk</t>
  </si>
  <si>
    <t>Faversham</t>
  </si>
  <si>
    <t>34 Preston Street</t>
  </si>
  <si>
    <t>ME13 8PE</t>
  </si>
  <si>
    <t>abrown@hbbsolicitors.co.uk</t>
  </si>
  <si>
    <t>Unit 1, 2B The Links</t>
  </si>
  <si>
    <t>CT6 7GQ</t>
  </si>
  <si>
    <t>dchester@hbbsolicitors.co.uk</t>
  </si>
  <si>
    <t>Cox &amp; Hodgetts</t>
  </si>
  <si>
    <t>De Montfort House, 115 High Street</t>
  </si>
  <si>
    <t>WR11 4HS</t>
  </si>
  <si>
    <t>ian.long@coxhodgetts.uk</t>
  </si>
  <si>
    <t>Engleharts</t>
  </si>
  <si>
    <t>Vallance Hall, 49 Hove Street</t>
  </si>
  <si>
    <t>BN3 2DE</t>
  </si>
  <si>
    <t>jack@engleharts.co.uk</t>
  </si>
  <si>
    <t xml:space="preserve">Harold Stock &amp; Co Limited </t>
  </si>
  <si>
    <t>55-57 Stamford Street</t>
  </si>
  <si>
    <t>Mossley</t>
  </si>
  <si>
    <t>Tameside</t>
  </si>
  <si>
    <t>OL5 0LN</t>
  </si>
  <si>
    <t>info@haroldstock.com</t>
  </si>
  <si>
    <t>Pepper House, 1 Pepper Road</t>
  </si>
  <si>
    <t>SK7 5DP</t>
  </si>
  <si>
    <t>Failsworth</t>
  </si>
  <si>
    <t>Ivy Business Centre, Crown Street</t>
  </si>
  <si>
    <t>M35 9BG</t>
  </si>
  <si>
    <t>O'Neill Richmonds Law Firm Ltd</t>
  </si>
  <si>
    <t>Space Works, Benton Park Road</t>
  </si>
  <si>
    <t>NE7 7LX</t>
  </si>
  <si>
    <t>kpotts@oneill-law.com</t>
  </si>
  <si>
    <t>51-52 Howard Street</t>
  </si>
  <si>
    <t>NE30 1AP</t>
  </si>
  <si>
    <t>31-34 Brenkley Way</t>
  </si>
  <si>
    <t>Blezard Business Park</t>
  </si>
  <si>
    <t>NE13 6DS</t>
  </si>
  <si>
    <t>info@oneill-law.com</t>
  </si>
  <si>
    <t>Peacock and Co Solicitors Limited</t>
  </si>
  <si>
    <t>94 High Street</t>
  </si>
  <si>
    <t>Wimbledon Village</t>
  </si>
  <si>
    <t>SW19 5EG</t>
  </si>
  <si>
    <t>ema.jones@peacock-law.co.uk</t>
  </si>
  <si>
    <t>Park Place House, 24 Church Street</t>
  </si>
  <si>
    <t>KT17 4QB</t>
  </si>
  <si>
    <t>office@peacock-law.co.uk</t>
  </si>
  <si>
    <t>Rowberry Morris Thames Valley LLP</t>
  </si>
  <si>
    <t>17 Castle Street</t>
  </si>
  <si>
    <t>zoe.baxter@rowberrymorris.co.uk</t>
  </si>
  <si>
    <t>15 Clarence Street</t>
  </si>
  <si>
    <t xml:space="preserve">Staines </t>
  </si>
  <si>
    <t>TW18 4SU</t>
  </si>
  <si>
    <t>Zoe.baxter@rowberrymorris.co.uk</t>
  </si>
  <si>
    <t>Sherfield House</t>
  </si>
  <si>
    <t>Mulfords Hill</t>
  </si>
  <si>
    <t>Tadley</t>
  </si>
  <si>
    <t>RG26 3XJ</t>
  </si>
  <si>
    <t>Forrester Sylvester Mackett LLP</t>
  </si>
  <si>
    <t>1 Weymouth Street</t>
  </si>
  <si>
    <t>Warminster</t>
  </si>
  <si>
    <t>BA12 9NP</t>
  </si>
  <si>
    <t>johnriley@fsmsolicitors.co.uk</t>
  </si>
  <si>
    <t>61 St. Mary Street</t>
  </si>
  <si>
    <t>SN15 3JH</t>
  </si>
  <si>
    <t>reception@fsmsolicitors.co.uk</t>
  </si>
  <si>
    <t>Castle House, Castle Street</t>
  </si>
  <si>
    <t>BA14 8AX</t>
  </si>
  <si>
    <t>Malmesbury</t>
  </si>
  <si>
    <t>59 High Street</t>
  </si>
  <si>
    <t>SN16 9AH</t>
  </si>
  <si>
    <t>6 Little London Court, Albert Street</t>
  </si>
  <si>
    <t>SN1 3HY</t>
  </si>
  <si>
    <t xml:space="preserve">enquiries@fsmsolicitors.co.uk </t>
  </si>
  <si>
    <t>2 Scott Road</t>
  </si>
  <si>
    <t>BA11 1AL</t>
  </si>
  <si>
    <t>enquiries@fsmsolicitors.co.uk</t>
  </si>
  <si>
    <t>Kew Law LLP</t>
  </si>
  <si>
    <t>121 Newland Street</t>
  </si>
  <si>
    <t>CM8 1BE</t>
  </si>
  <si>
    <t>nigel.wood@kewlaw.co.uk</t>
  </si>
  <si>
    <t>Old Manor House</t>
  </si>
  <si>
    <t>Little Square</t>
  </si>
  <si>
    <t>CM7 1UT</t>
  </si>
  <si>
    <t>info@kewlaw.co.uk</t>
  </si>
  <si>
    <t>55 North Hill</t>
  </si>
  <si>
    <t>CO1 1PX</t>
  </si>
  <si>
    <t>1/3 Gate Street</t>
  </si>
  <si>
    <t>CM9 5QW</t>
  </si>
  <si>
    <t>11 London Road</t>
  </si>
  <si>
    <t>SS12 0AW</t>
  </si>
  <si>
    <t>34 High Street</t>
  </si>
  <si>
    <t>Burnham-on-Crouch</t>
  </si>
  <si>
    <t>CM0 8AA</t>
  </si>
  <si>
    <t>Hadleigh</t>
  </si>
  <si>
    <t>30 Rectory Road</t>
  </si>
  <si>
    <t>SS7 2ND</t>
  </si>
  <si>
    <t>Halstead</t>
  </si>
  <si>
    <t>CO9 2AP</t>
  </si>
  <si>
    <t>88 Duke Street</t>
  </si>
  <si>
    <t>CM1 1JP</t>
  </si>
  <si>
    <t>18 North Street</t>
  </si>
  <si>
    <t>CO10 1RB</t>
  </si>
  <si>
    <t>sudbury@kewlaw.co.uk</t>
  </si>
  <si>
    <t>8 Chandlers Way</t>
  </si>
  <si>
    <t>CM3 5TB</t>
  </si>
  <si>
    <t>89 Rosemary Road West</t>
  </si>
  <si>
    <t>Clacton On Sea</t>
  </si>
  <si>
    <t>CO15 1EP</t>
  </si>
  <si>
    <t>clacton@kewlaw.co.uk</t>
  </si>
  <si>
    <t>Stephens Scown LLP</t>
  </si>
  <si>
    <t>Falcon House, 24-26 Charles Street</t>
  </si>
  <si>
    <t xml:space="preserve">TR1 2PH </t>
  </si>
  <si>
    <t>residential@stephens-scown.co.uk</t>
  </si>
  <si>
    <t>Curzon House, Southernhay West</t>
  </si>
  <si>
    <t>EX1 1RS</t>
  </si>
  <si>
    <t>2-12 Commercial Road</t>
  </si>
  <si>
    <t>BH2 5LP</t>
  </si>
  <si>
    <t>Portland House,</t>
  </si>
  <si>
    <t>Deane Gate Avenue</t>
  </si>
  <si>
    <t>TA1 2UH</t>
  </si>
  <si>
    <t>Underwood Vinecombe LLP</t>
  </si>
  <si>
    <t>Telford House, Outrams Wharf</t>
  </si>
  <si>
    <t xml:space="preserve">Little Eaton </t>
  </si>
  <si>
    <t xml:space="preserve">Derby </t>
  </si>
  <si>
    <t xml:space="preserve">Derbyshire </t>
  </si>
  <si>
    <t>DE21 5EL</t>
  </si>
  <si>
    <t>laura.white@uvlegal.co.uk</t>
  </si>
  <si>
    <t>Napthens LLP</t>
  </si>
  <si>
    <t xml:space="preserve">7 Winckley Square </t>
  </si>
  <si>
    <t>PR1 3JD</t>
  </si>
  <si>
    <t>lenders@napthens.co.uk</t>
  </si>
  <si>
    <t xml:space="preserve">Room 37, Jubilee House </t>
  </si>
  <si>
    <t>East Beach</t>
  </si>
  <si>
    <t>Darwen House, Walker Office Park</t>
  </si>
  <si>
    <t xml:space="preserve">Blackburn </t>
  </si>
  <si>
    <t>BB1 2QE</t>
  </si>
  <si>
    <t>Bridge Mills</t>
  </si>
  <si>
    <t>42 Hoghton Street</t>
  </si>
  <si>
    <t>PR9 0PQ</t>
  </si>
  <si>
    <t>6a The Plaza, 100 Old Hall Street</t>
  </si>
  <si>
    <t>1 Pollen Square, 59 King Street</t>
  </si>
  <si>
    <t>M2 4PD</t>
  </si>
  <si>
    <t>Avrillo LLP</t>
  </si>
  <si>
    <t>257 Green Lanes</t>
  </si>
  <si>
    <t>N13 4XE</t>
  </si>
  <si>
    <t>avp@avrillo.co.uk</t>
  </si>
  <si>
    <t>Aspen Morris Ltd</t>
  </si>
  <si>
    <t>141 High Street</t>
  </si>
  <si>
    <t>N14 6BP</t>
  </si>
  <si>
    <t>ppetrou@aspenmorris.com</t>
  </si>
  <si>
    <t>Cozens-Hardy LLP</t>
  </si>
  <si>
    <t>Castle Chambers, Opie Street</t>
  </si>
  <si>
    <t>NR1 3DP</t>
  </si>
  <si>
    <t>jrsinfield@cozens-hardy.com</t>
  </si>
  <si>
    <t>Price &amp; Kelway Limited</t>
  </si>
  <si>
    <t>17 Hamilton Terrace</t>
  </si>
  <si>
    <t>Milford Haven</t>
  </si>
  <si>
    <t>SA73 3JA</t>
  </si>
  <si>
    <t>rebecca@priceandkelway.co.uk</t>
  </si>
  <si>
    <t>Nichols Marcy Dawson LLP</t>
  </si>
  <si>
    <t>Portman House, Colby Road</t>
  </si>
  <si>
    <t>KT12 2RN</t>
  </si>
  <si>
    <t>c.mitchell@nmd-law.com</t>
  </si>
  <si>
    <t>Starkie &amp; Gregory inc Cruickshanks</t>
  </si>
  <si>
    <t>25 Derby Road</t>
  </si>
  <si>
    <t>Long Eaton</t>
  </si>
  <si>
    <t>NG10 1NA</t>
  </si>
  <si>
    <t>simon.fennemore@sgcsolicitors.com</t>
  </si>
  <si>
    <t>Lucas Law Solicitors</t>
  </si>
  <si>
    <t>Unit B, Off Edge, Station Approach</t>
  </si>
  <si>
    <t>Penarth</t>
  </si>
  <si>
    <t>CF64 3EE</t>
  </si>
  <si>
    <t>info@lucaslaw.co.uk</t>
  </si>
  <si>
    <t>Barrow and Cook Solicitors Limited</t>
  </si>
  <si>
    <t>5-7 Victoria Square</t>
  </si>
  <si>
    <t>WA10 1HH</t>
  </si>
  <si>
    <t>marie.tickle@barrowandcook.co.uk</t>
  </si>
  <si>
    <t>Berwins Solicitors Limited</t>
  </si>
  <si>
    <t>2 North Park Road</t>
  </si>
  <si>
    <t>HG1 5PA</t>
  </si>
  <si>
    <t>MichelleCrowhurst@berwins.co.uk</t>
  </si>
  <si>
    <t>Dickinsons</t>
  </si>
  <si>
    <t>24 Park Road</t>
  </si>
  <si>
    <t>St Annes On Sea</t>
  </si>
  <si>
    <t>FY8 1PA</t>
  </si>
  <si>
    <t>stuart.harrison@dickinsonsolicitors.co.uk</t>
  </si>
  <si>
    <t>Edward Hughes LLP</t>
  </si>
  <si>
    <t>29-31 Kinmel Street</t>
  </si>
  <si>
    <t>Rhyl</t>
  </si>
  <si>
    <t>LL18 1AH</t>
  </si>
  <si>
    <t>rfjohnson@edwardhughes.uk</t>
  </si>
  <si>
    <t>Colwyn Bay</t>
  </si>
  <si>
    <t xml:space="preserve">Princes House, 25 Princes Drive </t>
  </si>
  <si>
    <t>LL29 8HT</t>
  </si>
  <si>
    <t xml:space="preserve">rfjohnson@edwardhughes.uk </t>
  </si>
  <si>
    <t>BGW Law Limited</t>
  </si>
  <si>
    <t>57 High Street</t>
  </si>
  <si>
    <t>Shepton Mallet</t>
  </si>
  <si>
    <t>BA4 5AQ</t>
  </si>
  <si>
    <t>libby.stoodley@bgw-solicitors.co.uk</t>
  </si>
  <si>
    <t>The Old Exchange, Church Street</t>
  </si>
  <si>
    <t>Castle Cary</t>
  </si>
  <si>
    <t>BA7 7EJ</t>
  </si>
  <si>
    <t>robin@bgw-solicitors.co.uk</t>
  </si>
  <si>
    <t>Bath Street Chambers</t>
  </si>
  <si>
    <t>Bath Street</t>
  </si>
  <si>
    <t>Cheddar</t>
  </si>
  <si>
    <t>BS27 3AA</t>
  </si>
  <si>
    <t>gareth.reynolds@bgw-solicitors.co.uk</t>
  </si>
  <si>
    <t>Tilly Bailey &amp; Irvine LLP</t>
  </si>
  <si>
    <t>York Chambers</t>
  </si>
  <si>
    <t>York Road</t>
  </si>
  <si>
    <t>TS26 9DP</t>
  </si>
  <si>
    <t>info@tbilaw.co.uk</t>
  </si>
  <si>
    <t>Castle House, 11-13 Bridge Road</t>
  </si>
  <si>
    <t>TS18 3AD</t>
  </si>
  <si>
    <t>8 Newgate</t>
  </si>
  <si>
    <t>DL12 8NG</t>
  </si>
  <si>
    <t>Wynyard</t>
  </si>
  <si>
    <t>12 Evolution, Wynyard Park</t>
  </si>
  <si>
    <t>TS22 5TB</t>
  </si>
  <si>
    <t>23 John Street</t>
  </si>
  <si>
    <t>SR1 1JG</t>
  </si>
  <si>
    <t>Alsters Kelley Solicitors Limited</t>
  </si>
  <si>
    <t>Hamilton House</t>
  </si>
  <si>
    <t>Hamilton Terrace</t>
  </si>
  <si>
    <t>CV32 4LY</t>
  </si>
  <si>
    <t>catherine.wahlberg@alsterskelley.com</t>
  </si>
  <si>
    <t>3 Dugdale Street</t>
  </si>
  <si>
    <t>CV11 5QJ</t>
  </si>
  <si>
    <t>neil.raiseborough@alsterskelley.com</t>
  </si>
  <si>
    <t>Manor Terrace, Friars Road</t>
  </si>
  <si>
    <t>CV1 2NU</t>
  </si>
  <si>
    <t>enquiries@alsterskelley.com</t>
  </si>
  <si>
    <t>2 Chestnut Walk</t>
  </si>
  <si>
    <t>Stratford-Upon-Avon</t>
  </si>
  <si>
    <t>CV37 6HG</t>
  </si>
  <si>
    <t>Southam</t>
  </si>
  <si>
    <t>4 High Street</t>
  </si>
  <si>
    <t>CV47 0HA</t>
  </si>
  <si>
    <t>36 West Bar Street</t>
  </si>
  <si>
    <t>OX16 9RU</t>
  </si>
  <si>
    <t>Convey Law Ltd</t>
  </si>
  <si>
    <t xml:space="preserve">Maxwell Chambers </t>
  </si>
  <si>
    <t>34-38 Stow Hill</t>
  </si>
  <si>
    <t>NP20 1JE</t>
  </si>
  <si>
    <t>lenders@conveylaw.com</t>
  </si>
  <si>
    <t>7B Dyffryn Court</t>
  </si>
  <si>
    <t>Riverside Business Park</t>
  </si>
  <si>
    <t>Llansamlet</t>
  </si>
  <si>
    <t>SA7 0AP</t>
  </si>
  <si>
    <t>Coles Miller Solicitors LLP</t>
  </si>
  <si>
    <t>44/46 Parkstone Road</t>
  </si>
  <si>
    <t>BH15 2PG</t>
  </si>
  <si>
    <t>rleedham@coles-miller.co.uk</t>
  </si>
  <si>
    <t>Arrowsmith Court, 10 Station Approach</t>
  </si>
  <si>
    <t>Dorset,</t>
  </si>
  <si>
    <t>BH18 8AX</t>
  </si>
  <si>
    <t>4 Durley Chine Road</t>
  </si>
  <si>
    <t>BH2 5QT</t>
  </si>
  <si>
    <t>21 Eastbrook Row</t>
  </si>
  <si>
    <t>Crown Mead</t>
  </si>
  <si>
    <t>BH21 1HN</t>
  </si>
  <si>
    <t>website@coles-miller.co.uk</t>
  </si>
  <si>
    <t>Harbour House, Upton Road</t>
  </si>
  <si>
    <t>BH17 7AG</t>
  </si>
  <si>
    <t>McKeag &amp; Co Solicitors LLP</t>
  </si>
  <si>
    <t>1-3 Lansdowne Terrace</t>
  </si>
  <si>
    <t>NE3 1HN</t>
  </si>
  <si>
    <t>conveyancing@mckeagandco.com</t>
  </si>
  <si>
    <t>Sternberg Reed LLP</t>
  </si>
  <si>
    <t xml:space="preserve">Focal House, 12-18 Station Parade, </t>
  </si>
  <si>
    <t>Barking</t>
  </si>
  <si>
    <t>IG11 8DN</t>
  </si>
  <si>
    <t>joanne.keogh@sternberg-reed.co.uk</t>
  </si>
  <si>
    <t xml:space="preserve">Grays </t>
  </si>
  <si>
    <t xml:space="preserve">20 London Road </t>
  </si>
  <si>
    <t>River House, Stour Street</t>
  </si>
  <si>
    <t>CT1 2NZ</t>
  </si>
  <si>
    <t>De Burgh House, Market Road</t>
  </si>
  <si>
    <t>SS12 0BB</t>
  </si>
  <si>
    <t>6 Chandlers Way</t>
  </si>
  <si>
    <t>Canvey Island</t>
  </si>
  <si>
    <t>Lakeside House, 9 Knightswick Road</t>
  </si>
  <si>
    <t>SS8 9PA</t>
  </si>
  <si>
    <t>Angel Wilkins LLP</t>
  </si>
  <si>
    <t>The White Barn</t>
  </si>
  <si>
    <t>Manor Road</t>
  </si>
  <si>
    <t>Wantage</t>
  </si>
  <si>
    <t>OX12 8NE</t>
  </si>
  <si>
    <t>neil@angelwilkins.co.uk</t>
  </si>
  <si>
    <t>26 Wood Street</t>
  </si>
  <si>
    <t>SN1 4AB</t>
  </si>
  <si>
    <t>amanda@angelwilkins.co.uk</t>
  </si>
  <si>
    <t>Ackroyd Legal (London) LLP</t>
  </si>
  <si>
    <t>info.sa@ackroydlegal.com</t>
  </si>
  <si>
    <t>20-25 Market Square</t>
  </si>
  <si>
    <t>BR1 1NA</t>
  </si>
  <si>
    <t>info.bromley@ackroydlegal.com</t>
  </si>
  <si>
    <t>Scott Hyman &amp; Co</t>
  </si>
  <si>
    <t>Lancashire House, Winters Court</t>
  </si>
  <si>
    <t>12 Church Lane</t>
  </si>
  <si>
    <t>OL1 3AN</t>
  </si>
  <si>
    <t>sadia.arshad@scotthyman.co.uk</t>
  </si>
  <si>
    <t>75 Ashton Road East</t>
  </si>
  <si>
    <t>M35 9PW</t>
  </si>
  <si>
    <t>rachel@scotthyman.co.uk</t>
  </si>
  <si>
    <t>Farnfields LLP</t>
  </si>
  <si>
    <t>The Square</t>
  </si>
  <si>
    <t>SP8 4AX</t>
  </si>
  <si>
    <t>info@farnfields.com</t>
  </si>
  <si>
    <t>37 High Street</t>
  </si>
  <si>
    <t>BA12 9AJ</t>
  </si>
  <si>
    <t>Shaftesbury</t>
  </si>
  <si>
    <t>4 Church Lane</t>
  </si>
  <si>
    <t>SP7 8JT</t>
  </si>
  <si>
    <t>The Legal Practice Ltd</t>
  </si>
  <si>
    <t>122 To 126 Wembley Park Drive</t>
  </si>
  <si>
    <t>HA9 8HP</t>
  </si>
  <si>
    <t>tlp@thelegalpractice.co.uk</t>
  </si>
  <si>
    <t>Henwood Twenty Two Limited</t>
  </si>
  <si>
    <t>CT21 5JN</t>
  </si>
  <si>
    <t>keith@robson-co.co.uk</t>
  </si>
  <si>
    <t>9 North Street</t>
  </si>
  <si>
    <t>TN24 8LF</t>
  </si>
  <si>
    <t>Chester and Co</t>
  </si>
  <si>
    <t>661 Christchurch Road</t>
  </si>
  <si>
    <t>Boscombe</t>
  </si>
  <si>
    <t>BH7 6AA</t>
  </si>
  <si>
    <t>info@chesterlaw.co.uk</t>
  </si>
  <si>
    <t>Complete Convey Limited</t>
  </si>
  <si>
    <t>2 Roundhouse Court, South Rings Business Park</t>
  </si>
  <si>
    <t>Bamber Bridge</t>
  </si>
  <si>
    <t>PR5 6DA</t>
  </si>
  <si>
    <t>directors@completeconvey.co.uk</t>
  </si>
  <si>
    <t>Norrie Waite &amp; Slater Solicitors Ltd</t>
  </si>
  <si>
    <t>9-12 East Parade</t>
  </si>
  <si>
    <t>S1 2ET</t>
  </si>
  <si>
    <t>Nicholas@Norrie-Waite.com</t>
  </si>
  <si>
    <t>21-23 Bridge Street</t>
  </si>
  <si>
    <t>S21 1AH</t>
  </si>
  <si>
    <t>richardm@norrie-waite.co.uk</t>
  </si>
  <si>
    <t>69 Broad Street</t>
  </si>
  <si>
    <t>Parkgate</t>
  </si>
  <si>
    <t>S62 6DU</t>
  </si>
  <si>
    <t>Hook &amp; Partners</t>
  </si>
  <si>
    <t>92-98 High Street</t>
  </si>
  <si>
    <t>SS8 7SU</t>
  </si>
  <si>
    <t>info@hookandpartners.com</t>
  </si>
  <si>
    <t>Myerson Limited</t>
  </si>
  <si>
    <t>Grosvenor House</t>
  </si>
  <si>
    <t>20 Barrington Road</t>
  </si>
  <si>
    <t>WA14 1HB</t>
  </si>
  <si>
    <t>heather.adams@myerson.co.uk</t>
  </si>
  <si>
    <t>Devonalds</t>
  </si>
  <si>
    <t>46 Talbot Road</t>
  </si>
  <si>
    <t>Pontyclun</t>
  </si>
  <si>
    <t>Rhondda Cynon Taf</t>
  </si>
  <si>
    <t>CF72 8AF</t>
  </si>
  <si>
    <t>TalbotGreen@devonalds.co.uk</t>
  </si>
  <si>
    <t>135 Dunraven Street</t>
  </si>
  <si>
    <t>CF40 1QD</t>
  </si>
  <si>
    <t>tonypandy@devonalds.co.uk</t>
  </si>
  <si>
    <t>Ty Caradog, 13 Courthouse Street</t>
  </si>
  <si>
    <t>CF37 1JW</t>
  </si>
  <si>
    <t>Pontypridd@devonalds.co.uk</t>
  </si>
  <si>
    <t>The Old Library</t>
  </si>
  <si>
    <t>East Road</t>
  </si>
  <si>
    <t xml:space="preserve">Tylorstown, Ferndale </t>
  </si>
  <si>
    <t xml:space="preserve">Mid Glamorgan </t>
  </si>
  <si>
    <t>CF43 3DA</t>
  </si>
  <si>
    <t>probinson@devonalds.co.uk</t>
  </si>
  <si>
    <t>10 Dunraven Place</t>
  </si>
  <si>
    <t>bridgend@devonalds.co.uk</t>
  </si>
  <si>
    <t>The Old Surgery, Horeb Street</t>
  </si>
  <si>
    <t>Treorchy</t>
  </si>
  <si>
    <t>CF42 6RU</t>
  </si>
  <si>
    <t>Treorchy@devonalds.co.uk</t>
  </si>
  <si>
    <t>93 Cardiff Road</t>
  </si>
  <si>
    <t>Caerffili</t>
  </si>
  <si>
    <t>CF83 1WS</t>
  </si>
  <si>
    <t>caerphilly@devonalds.co.uk</t>
  </si>
  <si>
    <t>Pentwyn House, Y Brif Ffordd</t>
  </si>
  <si>
    <t>CF38 1RL</t>
  </si>
  <si>
    <t>churchvillage@devonalds.co.uk</t>
  </si>
  <si>
    <t>Sal &amp; Co Solicitors Limited</t>
  </si>
  <si>
    <t>191 Angel Place, Fore Street</t>
  </si>
  <si>
    <t>Edmonton</t>
  </si>
  <si>
    <t>N18 2UD</t>
  </si>
  <si>
    <t>hasan@salandco.co.uk</t>
  </si>
  <si>
    <t>Fairweather Law Limited</t>
  </si>
  <si>
    <t xml:space="preserve">Old Bank Chambers, 51 High Street, </t>
  </si>
  <si>
    <t>Leiston</t>
  </si>
  <si>
    <t>IP16 4EL</t>
  </si>
  <si>
    <t>thobden@fairweatherlaw.co.uk</t>
  </si>
  <si>
    <t>Aldeburgh</t>
  </si>
  <si>
    <t>Cross Corner, 16 Wentworth Road</t>
  </si>
  <si>
    <t>IP15 5BB</t>
  </si>
  <si>
    <t>enquiries@fairweatherstephenson.co.uk</t>
  </si>
  <si>
    <t>Framlingham</t>
  </si>
  <si>
    <t>10 Riverside</t>
  </si>
  <si>
    <t>IP13 9AG</t>
  </si>
  <si>
    <t>jpringle@fairweatherlaw.co.uk</t>
  </si>
  <si>
    <t>14 Museum Street</t>
  </si>
  <si>
    <t>IP1 1HT</t>
  </si>
  <si>
    <t>jfairweather@fairweatherlaw.co.uk</t>
  </si>
  <si>
    <t>T G Baynes Solicitors</t>
  </si>
  <si>
    <t>Broadway House, 208 Broadway</t>
  </si>
  <si>
    <t>DA6 7BD</t>
  </si>
  <si>
    <t>martind@TGBaynes.com</t>
  </si>
  <si>
    <t xml:space="preserve">Baynes House, 5a Market Street, </t>
  </si>
  <si>
    <t>DA1 1DB</t>
  </si>
  <si>
    <t>info@tgbaynes.com</t>
  </si>
  <si>
    <t>Downe House, 303 High Street</t>
  </si>
  <si>
    <t>BR6 0NJ</t>
  </si>
  <si>
    <t>Nicholson &amp; Morgan Incorp Blackett &amp; Co</t>
  </si>
  <si>
    <t>14 Bell Villas</t>
  </si>
  <si>
    <t>Ponteland</t>
  </si>
  <si>
    <t xml:space="preserve">Tyne &amp; wear </t>
  </si>
  <si>
    <t>NE20 9BE</t>
  </si>
  <si>
    <t>jonathan@nicholsonmorgan.co.uk</t>
  </si>
  <si>
    <t xml:space="preserve">J E Baring Ltd </t>
  </si>
  <si>
    <t>Second Floor, Dunstan House</t>
  </si>
  <si>
    <t>14a St Cross Street</t>
  </si>
  <si>
    <t>EC1N 8XA</t>
  </si>
  <si>
    <t>allanhooper@jebaring.co.uk</t>
  </si>
  <si>
    <t>William Parry &amp; Company Limited</t>
  </si>
  <si>
    <t>37 Walter Road</t>
  </si>
  <si>
    <t>SA1 5NW</t>
  </si>
  <si>
    <t>davidwhite@wparry.co.uk</t>
  </si>
  <si>
    <t>Adamson House, Towers Business Park</t>
  </si>
  <si>
    <t>Wilmslow Road</t>
  </si>
  <si>
    <t>M20 2YY</t>
  </si>
  <si>
    <t>aw@wparry.co.uk</t>
  </si>
  <si>
    <t>Key Legal (North East) Limited</t>
  </si>
  <si>
    <t>Catterick House, Morton Road</t>
  </si>
  <si>
    <t>DL1 4PT</t>
  </si>
  <si>
    <t>info@key-legal.com</t>
  </si>
  <si>
    <t>Law Lane Solicitors Limited</t>
  </si>
  <si>
    <t xml:space="preserve">43-45 Broadway </t>
  </si>
  <si>
    <t>E15 4BL</t>
  </si>
  <si>
    <t>saghir.ahmad@lawlanesolicitors.com</t>
  </si>
  <si>
    <t>Copleys Solicitors LLP</t>
  </si>
  <si>
    <t xml:space="preserve">Red House, 10 Market Hill, </t>
  </si>
  <si>
    <t>PE27 5AW</t>
  </si>
  <si>
    <t>michelle.overton@copleys.net</t>
  </si>
  <si>
    <t>PE29 3TH</t>
  </si>
  <si>
    <t>Aldridge Brownlee Solicitors LLP</t>
  </si>
  <si>
    <t xml:space="preserve">13 Christchurch Road, </t>
  </si>
  <si>
    <t xml:space="preserve">Lansdowne, </t>
  </si>
  <si>
    <t>BH1 3JY</t>
  </si>
  <si>
    <t>owen.baker@absolicitors.com</t>
  </si>
  <si>
    <t>Highcliffe</t>
  </si>
  <si>
    <t>277 Lymington Road</t>
  </si>
  <si>
    <t>BH23 5EB</t>
  </si>
  <si>
    <t>89 Wimborne Road</t>
  </si>
  <si>
    <t>BH3 7AW</t>
  </si>
  <si>
    <t>Fladgate LLP</t>
  </si>
  <si>
    <t>16 Great Queen Street</t>
  </si>
  <si>
    <t>WC2B 5DG</t>
  </si>
  <si>
    <t>hcurtis-goulding@fladgate.com</t>
  </si>
  <si>
    <t>Bower &amp; Bailey LLP</t>
  </si>
  <si>
    <t>Cambridge House, 4 College Court</t>
  </si>
  <si>
    <t>Regent Circus</t>
  </si>
  <si>
    <t>SN1 1PJ</t>
  </si>
  <si>
    <t>lmsswindon@bowerbailey.co.uk</t>
  </si>
  <si>
    <t xml:space="preserve">Willow House  </t>
  </si>
  <si>
    <t>2 Heynes Place, Station Lane</t>
  </si>
  <si>
    <t>OX28 4YN</t>
  </si>
  <si>
    <t>panels@bowerbailey.co.uk</t>
  </si>
  <si>
    <t>Monument House, 31-34 South Bar Street</t>
  </si>
  <si>
    <t>OX16 9AE</t>
  </si>
  <si>
    <t>pcooksey@bowerbailey.co.uk</t>
  </si>
  <si>
    <t>Anchor House, 269 Banbury Road</t>
  </si>
  <si>
    <t>OX2 7JF</t>
  </si>
  <si>
    <t>jnewman@bowerbailey.co.uk</t>
  </si>
  <si>
    <t>Rosewood Law Ltd</t>
  </si>
  <si>
    <t>Suite 9 Kings Court, 33 Kings Street</t>
  </si>
  <si>
    <t>BB2 2DH</t>
  </si>
  <si>
    <t>saf@rosewoodlaw.co.uk</t>
  </si>
  <si>
    <t>Suite 10, Kings Court</t>
  </si>
  <si>
    <t>33 King Street</t>
  </si>
  <si>
    <t>info@rosewoodlaw.co.uk</t>
  </si>
  <si>
    <t>12 Stamford Street</t>
  </si>
  <si>
    <t>Stalybridge</t>
  </si>
  <si>
    <t>SK15 1LA</t>
  </si>
  <si>
    <t>Anthony@rosewoodlaw.co.uk</t>
  </si>
  <si>
    <t>Graham &amp; Rosen Limited</t>
  </si>
  <si>
    <t>8 Parliament Street</t>
  </si>
  <si>
    <t>HU1 2BB</t>
  </si>
  <si>
    <t>afw@graham-rosen.co.uk</t>
  </si>
  <si>
    <t>Cottingham</t>
  </si>
  <si>
    <t>2-4 George Street</t>
  </si>
  <si>
    <t xml:space="preserve">Cottingham </t>
  </si>
  <si>
    <t>HU16 5QU</t>
  </si>
  <si>
    <t>law@graham-rosen.co.uk</t>
  </si>
  <si>
    <t>Jamesons Conveyancing Limited</t>
  </si>
  <si>
    <t>1A Church Lane</t>
  </si>
  <si>
    <t>Knutton</t>
  </si>
  <si>
    <t>ST5 6EP</t>
  </si>
  <si>
    <t>clinthughes@jamesons-conveyancing.co.uk</t>
  </si>
  <si>
    <t>Taylor &amp; Emmet LLP</t>
  </si>
  <si>
    <t>20 Arundel Gate</t>
  </si>
  <si>
    <t>S1 2PP</t>
  </si>
  <si>
    <t>lms@tayloremmet.co.uk</t>
  </si>
  <si>
    <t>1 Ecclesall Road South</t>
  </si>
  <si>
    <t>S11 9PA</t>
  </si>
  <si>
    <t>61b Sheffield Road</t>
  </si>
  <si>
    <t>S18 2GF</t>
  </si>
  <si>
    <t>Units H1 &amp; H2 Riverside Business Park</t>
  </si>
  <si>
    <t>Buxton Road</t>
  </si>
  <si>
    <t>Bakewell</t>
  </si>
  <si>
    <t>DE45 1GS</t>
  </si>
  <si>
    <t>Unit 23 And 24, Moorgate Croft Business Centre</t>
  </si>
  <si>
    <t>Bell Lamb &amp; Joynson</t>
  </si>
  <si>
    <t>Millbank House</t>
  </si>
  <si>
    <t>Northway</t>
  </si>
  <si>
    <t>WA7 2SX</t>
  </si>
  <si>
    <t>laura.cartwright@bljsolicitors.co.uk</t>
  </si>
  <si>
    <t>39 Walton Vale</t>
  </si>
  <si>
    <t>L9 4ST</t>
  </si>
  <si>
    <t>7 Central Square</t>
  </si>
  <si>
    <t>Maghull</t>
  </si>
  <si>
    <t>L31 0AE</t>
  </si>
  <si>
    <t>84 Sankey Street</t>
  </si>
  <si>
    <t>WA1 1SG</t>
  </si>
  <si>
    <t>contact@bljsolicitors.co.uk</t>
  </si>
  <si>
    <t>Suite 8, 405 Wigan Road</t>
  </si>
  <si>
    <t>Ashton-In-Makerfield</t>
  </si>
  <si>
    <t>WN4 0AR</t>
  </si>
  <si>
    <t>Suite 214, 2nd Floor,  20 Chapel Street</t>
  </si>
  <si>
    <t>L3 9AG</t>
  </si>
  <si>
    <t>Merricks Solicitors Limited</t>
  </si>
  <si>
    <t>Cross Street</t>
  </si>
  <si>
    <t>Wadebridge</t>
  </si>
  <si>
    <t>PL27 7DT</t>
  </si>
  <si>
    <t>foster@merricks-law.co.uk</t>
  </si>
  <si>
    <t>Norman H Barnett &amp; Co.</t>
  </si>
  <si>
    <t>397 Barking Road</t>
  </si>
  <si>
    <t>E6 2JT</t>
  </si>
  <si>
    <t>info@normanhbarnett.co.uk</t>
  </si>
  <si>
    <t xml:space="preserve">Mounteney Conveyancers Limited </t>
  </si>
  <si>
    <t>226 Finney Lane</t>
  </si>
  <si>
    <t>Heald Green</t>
  </si>
  <si>
    <t>SK8 3QA</t>
  </si>
  <si>
    <t>info@mounteney.com</t>
  </si>
  <si>
    <t>22 Village Square</t>
  </si>
  <si>
    <t>SK7 1AW</t>
  </si>
  <si>
    <t>57B High Street</t>
  </si>
  <si>
    <t>SK8 1BJ</t>
  </si>
  <si>
    <t>198 London Road</t>
  </si>
  <si>
    <t>SK7 4DQ</t>
  </si>
  <si>
    <t>Leathes Prior</t>
  </si>
  <si>
    <t>74 The Close</t>
  </si>
  <si>
    <t>NR1 4DR</t>
  </si>
  <si>
    <t>swilson@leathesprior.co.uk</t>
  </si>
  <si>
    <t>15 The Close</t>
  </si>
  <si>
    <t>NR1 4DZ</t>
  </si>
  <si>
    <t>info@leathesprior.co.uk</t>
  </si>
  <si>
    <t>Hannah Solicitors LLP</t>
  </si>
  <si>
    <t>Rushden</t>
  </si>
  <si>
    <t>NN10 0PR</t>
  </si>
  <si>
    <t>info@hannahsolicitors.co.uk</t>
  </si>
  <si>
    <t>Hart House Business Centre, Kimpton Road</t>
  </si>
  <si>
    <t>LU2 0LA</t>
  </si>
  <si>
    <t>w.akhtar@hannahsolicitors.co.uk</t>
  </si>
  <si>
    <t>The Armco Arena, Damson Park</t>
  </si>
  <si>
    <t>Damson Parkway</t>
  </si>
  <si>
    <t>B91 2PP</t>
  </si>
  <si>
    <t>Catteralls Solicitors Limited</t>
  </si>
  <si>
    <t>15 King Street</t>
  </si>
  <si>
    <t>WF1 2SL</t>
  </si>
  <si>
    <t>kr@catteralls.co.uk</t>
  </si>
  <si>
    <t>Adkirk Law Limited</t>
  </si>
  <si>
    <t>Old Docks House, 90 Watery Lane</t>
  </si>
  <si>
    <t>PR2 1AU</t>
  </si>
  <si>
    <t>info@Adkirklaw.co.uk</t>
  </si>
  <si>
    <t>Judge and Priestley LLP</t>
  </si>
  <si>
    <t>Justin House, 6 West Street</t>
  </si>
  <si>
    <t>BR1 1JN</t>
  </si>
  <si>
    <t>mhenwood@judge-priestley.co.uk</t>
  </si>
  <si>
    <t>Beckenham</t>
  </si>
  <si>
    <t>108 -110 High Street</t>
  </si>
  <si>
    <t>BR3 1EB</t>
  </si>
  <si>
    <t>residential@judge-priestley.co.uk</t>
  </si>
  <si>
    <t>1 Spencer Yard</t>
  </si>
  <si>
    <t>SE3 0DE</t>
  </si>
  <si>
    <t>info@judge-priestley.co.uk</t>
  </si>
  <si>
    <t>Sidcup</t>
  </si>
  <si>
    <t>100 Station Road</t>
  </si>
  <si>
    <t>DA15 7DT</t>
  </si>
  <si>
    <t xml:space="preserve">info@judge-priestley.co.uk </t>
  </si>
  <si>
    <t>7-10 Chandos Street</t>
  </si>
  <si>
    <t xml:space="preserve">W1G 9DQ </t>
  </si>
  <si>
    <t>Smith &amp; Co Solicitors</t>
  </si>
  <si>
    <t>Clarence House, 21 St Margaret's Green</t>
  </si>
  <si>
    <t>IP4 2BN</t>
  </si>
  <si>
    <t>vh@smithandcosolicitors.co.uk</t>
  </si>
  <si>
    <t>26 Hamilton Road</t>
  </si>
  <si>
    <t>IP11 7AN</t>
  </si>
  <si>
    <t>Reception@smithandcosolicitors.co.uk</t>
  </si>
  <si>
    <t>9 Gainsborough Street</t>
  </si>
  <si>
    <t>CO10 2EU</t>
  </si>
  <si>
    <t>reception@smithandcosolicitors.co.uk</t>
  </si>
  <si>
    <t>Unit 1 Hollands Road Business Centre</t>
  </si>
  <si>
    <t>21-27 Holland Road</t>
  </si>
  <si>
    <t>Haverhill</t>
  </si>
  <si>
    <t>CB9 8PU</t>
  </si>
  <si>
    <t>The J M Practice Limited</t>
  </si>
  <si>
    <t>10 Guildhall Street</t>
  </si>
  <si>
    <t>NG31 6NJ</t>
  </si>
  <si>
    <t>ihoward@jmp-solicitors.com</t>
  </si>
  <si>
    <t>Lyons Bowe Limited</t>
  </si>
  <si>
    <t>BA4 5AS</t>
  </si>
  <si>
    <t>compteamgreen@lyonsbowe.co.uk</t>
  </si>
  <si>
    <t>319 Wells Road</t>
  </si>
  <si>
    <t>BS4 2QD</t>
  </si>
  <si>
    <t>TA6 3BG</t>
  </si>
  <si>
    <t>The Old Court House, Waterloo</t>
  </si>
  <si>
    <t>FROME</t>
  </si>
  <si>
    <t>BA11 3JB</t>
  </si>
  <si>
    <t>6 Temple Street</t>
  </si>
  <si>
    <t>BS31 1EG</t>
  </si>
  <si>
    <t>Veale Wasbrough Vizards LLP</t>
  </si>
  <si>
    <t>Narrow Quay House</t>
  </si>
  <si>
    <t>Narrow Quay</t>
  </si>
  <si>
    <t>BS1 4QA</t>
  </si>
  <si>
    <t>jroe@vwv.co.uk</t>
  </si>
  <si>
    <t>24 King William Street</t>
  </si>
  <si>
    <t>EC4R 9AT</t>
  </si>
  <si>
    <t>45 Clarendon Road</t>
  </si>
  <si>
    <t xml:space="preserve">Watford </t>
  </si>
  <si>
    <t>WD17 1SZ</t>
  </si>
  <si>
    <t>cainley@vwv.co.uk</t>
  </si>
  <si>
    <t>Second Floor, 3 Brindley Place</t>
  </si>
  <si>
    <t>B1 2JB</t>
  </si>
  <si>
    <t>106 Henleaze Road</t>
  </si>
  <si>
    <t>Henleaze,</t>
  </si>
  <si>
    <t>BS9 4JZ</t>
  </si>
  <si>
    <t>SB Lawyers Limited</t>
  </si>
  <si>
    <t>126 Clifton Street</t>
  </si>
  <si>
    <t>CF24 1LX</t>
  </si>
  <si>
    <t>michael@sblawyers.co.uk</t>
  </si>
  <si>
    <t>3/4 Gelliwastad Road</t>
  </si>
  <si>
    <t>CF37 2AU</t>
  </si>
  <si>
    <t>54 Albany Road</t>
  </si>
  <si>
    <t>CF24 3RR</t>
  </si>
  <si>
    <t>Kingsfords Solicitors Limited</t>
  </si>
  <si>
    <t>2 Elwick Road</t>
  </si>
  <si>
    <t>TN23 1PD</t>
  </si>
  <si>
    <t>clb@kingsfords.net</t>
  </si>
  <si>
    <t>158a High Street</t>
  </si>
  <si>
    <t>CT21 5JR</t>
  </si>
  <si>
    <t>5 High Street</t>
  </si>
  <si>
    <t>TN17 3EB</t>
  </si>
  <si>
    <t>kld@kingsfords.net</t>
  </si>
  <si>
    <t>KLR Solicitors Limited</t>
  </si>
  <si>
    <t>63a Sidcup High Street</t>
  </si>
  <si>
    <t>DA14 6DW</t>
  </si>
  <si>
    <t>samanthi.perera@klrsolicitors.co.uk</t>
  </si>
  <si>
    <t>The Eric Whitehead Partnership Limited</t>
  </si>
  <si>
    <t>St Giles' Chambers, 14 Chapel Street</t>
  </si>
  <si>
    <t>ST10 1DY</t>
  </si>
  <si>
    <t>timothyhalliday@ericwhitehead.co.uk</t>
  </si>
  <si>
    <t>Lansdowne Law Limited</t>
  </si>
  <si>
    <t>Third Floor, 29 Waterloo Place</t>
  </si>
  <si>
    <t>Warwick Street,</t>
  </si>
  <si>
    <t>Warwickshire,</t>
  </si>
  <si>
    <t>n.hayer@lansdowne.law</t>
  </si>
  <si>
    <t>First Floor, 12a Birmingham Road</t>
  </si>
  <si>
    <t>B43 6NR</t>
  </si>
  <si>
    <t xml:space="preserve">14 Hanover Square </t>
  </si>
  <si>
    <t>W1S 1HN</t>
  </si>
  <si>
    <t>Colin Brown &amp; Kidson</t>
  </si>
  <si>
    <t>Wellington House, 5 Wellington Road</t>
  </si>
  <si>
    <t>YO21 1BH</t>
  </si>
  <si>
    <t>law@cbk.uk.com</t>
  </si>
  <si>
    <t>Longden Walker &amp; Renney (Solicitors) Limited</t>
  </si>
  <si>
    <t>14 John Street</t>
  </si>
  <si>
    <t>SR1 1HZ</t>
  </si>
  <si>
    <t>law@longdens.co.uk</t>
  </si>
  <si>
    <t>Bermans Limited</t>
  </si>
  <si>
    <t>fergal.ocleirigh@bermans.co.uk</t>
  </si>
  <si>
    <t>3rd Floor, 1 King Street</t>
  </si>
  <si>
    <t>M2 6AW</t>
  </si>
  <si>
    <t>david.gledhill@bermans.co.uk</t>
  </si>
  <si>
    <t>Metrolaw Solicitors Ltd</t>
  </si>
  <si>
    <t>92 Goodmayes Road</t>
  </si>
  <si>
    <t>Goodmayes</t>
  </si>
  <si>
    <t>IG3 9UU</t>
  </si>
  <si>
    <t>info@metrolaw.co.uk</t>
  </si>
  <si>
    <t>Godwins</t>
  </si>
  <si>
    <t>56 Portland Street</t>
  </si>
  <si>
    <t>SY23 2DX</t>
  </si>
  <si>
    <t>karen@godwinssolicitors.co.uk</t>
  </si>
  <si>
    <t>Gough-Thomas &amp; Scott Limited</t>
  </si>
  <si>
    <t>31 Salop Road</t>
  </si>
  <si>
    <t>SY11 2NR</t>
  </si>
  <si>
    <t>katiejones@gtssolicitors.co.uk</t>
  </si>
  <si>
    <t>8 Willow Street</t>
  </si>
  <si>
    <t>Ellesmere</t>
  </si>
  <si>
    <t>SY12 0AQ</t>
  </si>
  <si>
    <t>ellesmere@gtssolicitors.co.uk</t>
  </si>
  <si>
    <t>EMG Solicitors Limited</t>
  </si>
  <si>
    <t>Units 1 and 2 Abbey House</t>
  </si>
  <si>
    <t>Abbeywoods Business Park</t>
  </si>
  <si>
    <t>DH1 5TH</t>
  </si>
  <si>
    <t xml:space="preserve">Andrew.allon@emgsolicitors.com </t>
  </si>
  <si>
    <t>Croft House, High Street</t>
  </si>
  <si>
    <t>NE3 1NQ</t>
  </si>
  <si>
    <t>Andrew.allon@emgsolicitors.com</t>
  </si>
  <si>
    <t>Coniscliffe House, 9 Coniscliffe Road</t>
  </si>
  <si>
    <t xml:space="preserve">Darlington </t>
  </si>
  <si>
    <t>DL3 7EE</t>
  </si>
  <si>
    <t>Birbeck House, Duke Street</t>
  </si>
  <si>
    <t>CA11 7NA</t>
  </si>
  <si>
    <t>Temperley Taylor LLP</t>
  </si>
  <si>
    <t>Durham House, Warwick Court, Park Road</t>
  </si>
  <si>
    <t>M24 1AE</t>
  </si>
  <si>
    <t>vanessa.redmond@temperleytaylor.co.uk</t>
  </si>
  <si>
    <t>The Old Police Station, 22 Hind Hill Street</t>
  </si>
  <si>
    <t>Heywood</t>
  </si>
  <si>
    <t>OL10 1AQ</t>
  </si>
  <si>
    <t>Rothera Bray LLP</t>
  </si>
  <si>
    <t xml:space="preserve">2 Kayes Walk, </t>
  </si>
  <si>
    <t>The Lace Market</t>
  </si>
  <si>
    <t>NG1 1PZ</t>
  </si>
  <si>
    <t>j.murphy@rotherabray.co.uk</t>
  </si>
  <si>
    <t>Mapperley</t>
  </si>
  <si>
    <t>956 Woodborough Road</t>
  </si>
  <si>
    <t>NG3 5QS</t>
  </si>
  <si>
    <t>Beeston</t>
  </si>
  <si>
    <t>Suite Q129 (A), First Floor</t>
  </si>
  <si>
    <t>The Quadrant, Nuart Road</t>
  </si>
  <si>
    <t>NG9 2NH</t>
  </si>
  <si>
    <t>Cathedral Chambers, Amen Alley</t>
  </si>
  <si>
    <t>DE1 3GT</t>
  </si>
  <si>
    <t>4th Floor, Mercury Place, 11 St George Street</t>
  </si>
  <si>
    <t>LE1 1QG</t>
  </si>
  <si>
    <t>enquiries@rotherabray.co.uk</t>
  </si>
  <si>
    <t>51 High Street</t>
  </si>
  <si>
    <t>9 Tudor Square</t>
  </si>
  <si>
    <t>NG2 6BT</t>
  </si>
  <si>
    <t>29 Rectory Place</t>
  </si>
  <si>
    <t>LE11 1UW</t>
  </si>
  <si>
    <t>Arnold Thomson Limited</t>
  </si>
  <si>
    <t xml:space="preserve">205 Watling Street West, </t>
  </si>
  <si>
    <t>alberta.reid@arnoldthomson.com</t>
  </si>
  <si>
    <t>Harborough Innovation Centre</t>
  </si>
  <si>
    <t>Airfield Business Park, Leicester Road</t>
  </si>
  <si>
    <t>LE16 7WB</t>
  </si>
  <si>
    <t>enquiries@arnoldthomson.com</t>
  </si>
  <si>
    <t>T.A. Matthews Solicitors Limited</t>
  </si>
  <si>
    <t xml:space="preserve">Broadway House, </t>
  </si>
  <si>
    <t xml:space="preserve">32-35 Broad Street, </t>
  </si>
  <si>
    <t>a.barnes@tamatthews.co.uk</t>
  </si>
  <si>
    <t>13 Broad Street</t>
  </si>
  <si>
    <t>HR6 8BT</t>
  </si>
  <si>
    <t>Paris Smith LLP</t>
  </si>
  <si>
    <t>1 London Road</t>
  </si>
  <si>
    <t>SO15 2AE</t>
  </si>
  <si>
    <t>Teresa.Walker@parissmith.co.uk</t>
  </si>
  <si>
    <t>9 Parchment Street</t>
  </si>
  <si>
    <t>SO23 8AT</t>
  </si>
  <si>
    <t>Suite B, Ninth Floor, Avalon, 26-32 Oxford Road</t>
  </si>
  <si>
    <t>BH8 8EZ</t>
  </si>
  <si>
    <t xml:space="preserve">Teresa.Walker@parissmith.co.uk </t>
  </si>
  <si>
    <t>Boodle Hatfield LLP</t>
  </si>
  <si>
    <t>240 Blackfriars Road</t>
  </si>
  <si>
    <t>SE1 8NW</t>
  </si>
  <si>
    <t>ksymons@boodlehatfield.com</t>
  </si>
  <si>
    <t>Timms</t>
  </si>
  <si>
    <t>Suite 3 Anson Court</t>
  </si>
  <si>
    <t>Horninglow Street</t>
  </si>
  <si>
    <t>k.holmes@timms-law.com</t>
  </si>
  <si>
    <t>5 Queen Street</t>
  </si>
  <si>
    <t>DE1 3DL</t>
  </si>
  <si>
    <t>legal@timms-law.com</t>
  </si>
  <si>
    <t>80 Market Street</t>
  </si>
  <si>
    <t>LE65 1AP</t>
  </si>
  <si>
    <t xml:space="preserve">k.holmes@timms-law.com </t>
  </si>
  <si>
    <t>Empire Buildings, 23 West Street</t>
  </si>
  <si>
    <t>DE11 9DG</t>
  </si>
  <si>
    <t>Reiss Solicitors Ltd</t>
  </si>
  <si>
    <t>243 Manningham Lane</t>
  </si>
  <si>
    <t>BD8 7ER</t>
  </si>
  <si>
    <t>obaid@reisssolicitors.co.uk</t>
  </si>
  <si>
    <t>Wilkin Chapman LLP</t>
  </si>
  <si>
    <t>Oxley House, Lincoln Way</t>
  </si>
  <si>
    <t>LN11 0LS</t>
  </si>
  <si>
    <t>andrew.thompson@wcrlaw.co.uk</t>
  </si>
  <si>
    <t>Cartergate House, 26 Chantry Lane</t>
  </si>
  <si>
    <t>DN31 2LJ</t>
  </si>
  <si>
    <t xml:space="preserve">andrew.thompson@wilkinchapman.co.uk </t>
  </si>
  <si>
    <t>The Hall, Lairgate</t>
  </si>
  <si>
    <t>HU17 8HL</t>
  </si>
  <si>
    <t>The Maltings, 11-15 Brayford Wharf East</t>
  </si>
  <si>
    <t>LN5 7AY</t>
  </si>
  <si>
    <t>Citadel House, 58 High Street</t>
  </si>
  <si>
    <t>HU1 1QE</t>
  </si>
  <si>
    <t>andrew.thompson@wilkinchapman.co.uk</t>
  </si>
  <si>
    <t>Forsyth House, Alpha Court Drive</t>
  </si>
  <si>
    <t>Monks Cross Drive</t>
  </si>
  <si>
    <t>Huntington</t>
  </si>
  <si>
    <t>YO32 9WN</t>
  </si>
  <si>
    <t>F &amp; B Lawyers Limited</t>
  </si>
  <si>
    <t>287-289 Birchfield Road</t>
  </si>
  <si>
    <t>B20 3DD</t>
  </si>
  <si>
    <t>ma@fandblaw.uk</t>
  </si>
  <si>
    <t>BTMK Solicitors Limited</t>
  </si>
  <si>
    <t>Chillingstone House,  26 Eastwood Road</t>
  </si>
  <si>
    <t>SS6 7JQ</t>
  </si>
  <si>
    <t>debbie.whitcombe@btmk.co.uk</t>
  </si>
  <si>
    <t>Madison House, 100 - 102 Alexandra Road</t>
  </si>
  <si>
    <t>SS1 1HQ</t>
  </si>
  <si>
    <t>Debbie.whitcombe@btmk.co.uk</t>
  </si>
  <si>
    <t>24a Broadway</t>
  </si>
  <si>
    <t>SS9 1AW</t>
  </si>
  <si>
    <t>Hayward Moon Limited</t>
  </si>
  <si>
    <t>87 Whiting Street</t>
  </si>
  <si>
    <t>IP33 1NX</t>
  </si>
  <si>
    <t>lenders@haywardmoon.co.uk</t>
  </si>
  <si>
    <t>Connexions, 159 Princes Street</t>
  </si>
  <si>
    <t>Caxton House</t>
  </si>
  <si>
    <t>Victoria Road</t>
  </si>
  <si>
    <t>IP22 4JN</t>
  </si>
  <si>
    <t>13-17 High Street</t>
  </si>
  <si>
    <t>Stanway</t>
  </si>
  <si>
    <t>4 Pappus House</t>
  </si>
  <si>
    <t>CO3 8AQ</t>
  </si>
  <si>
    <t>78 Station Road</t>
  </si>
  <si>
    <t>Clacton on Sea</t>
  </si>
  <si>
    <t>CO15 1SP</t>
  </si>
  <si>
    <t>Holt</t>
  </si>
  <si>
    <t>3 Church Street</t>
  </si>
  <si>
    <t>NR25 6BB</t>
  </si>
  <si>
    <t>fakenham@haywardmoon.co.uk</t>
  </si>
  <si>
    <t>Alfred Newton Solicitors</t>
  </si>
  <si>
    <t>43-51 Wellington Road South</t>
  </si>
  <si>
    <t>SK1 3RX</t>
  </si>
  <si>
    <t>dtysall@alfrednewton.com</t>
  </si>
  <si>
    <t>Bredbury</t>
  </si>
  <si>
    <t>231 George Lane</t>
  </si>
  <si>
    <t>SK6 1DJ</t>
  </si>
  <si>
    <t>32 Alderley Road</t>
  </si>
  <si>
    <t>SK9 1JX</t>
  </si>
  <si>
    <t>61 Mottram Road</t>
  </si>
  <si>
    <t>SK15 2QR</t>
  </si>
  <si>
    <t>72 Compstall Road</t>
  </si>
  <si>
    <t>Romiley</t>
  </si>
  <si>
    <t>SK6 4DE</t>
  </si>
  <si>
    <t>Hotchkiss Warburton</t>
  </si>
  <si>
    <t>EX17 3JP</t>
  </si>
  <si>
    <t>enquiries@hotchkiss-warburton.co.uk</t>
  </si>
  <si>
    <t>Derbyshire Legal Services Limited</t>
  </si>
  <si>
    <t xml:space="preserve">Sherwood House, 1 Snitterton Road </t>
  </si>
  <si>
    <t>Matlock</t>
  </si>
  <si>
    <t>DE4 3LZ</t>
  </si>
  <si>
    <t>richard@lovedays-solicitors.co.uk</t>
  </si>
  <si>
    <t>Wirksworth</t>
  </si>
  <si>
    <t>6 St Johns Street</t>
  </si>
  <si>
    <t>DE4 4DR</t>
  </si>
  <si>
    <t>Bridge Street</t>
  </si>
  <si>
    <t>DE45 1DS</t>
  </si>
  <si>
    <t>law@lovedays-solicitors.co.uk</t>
  </si>
  <si>
    <t>Buxton</t>
  </si>
  <si>
    <t>SK17 6AW</t>
  </si>
  <si>
    <t>post@brooke-taylors.co.uk</t>
  </si>
  <si>
    <t>Dootsons LLP</t>
  </si>
  <si>
    <t>61-63 Church Street</t>
  </si>
  <si>
    <t>WN7 1AY</t>
  </si>
  <si>
    <t>msavage@dootsons.co.uk</t>
  </si>
  <si>
    <t>WELCH &amp; CO (SOLICITORS) LIMITED</t>
  </si>
  <si>
    <t>Mercantile Building, 5 Castle St</t>
  </si>
  <si>
    <t>SA43 3AB</t>
  </si>
  <si>
    <t>katyhanson@welchlaw.co.uk</t>
  </si>
  <si>
    <t>Barr Ellison LLP</t>
  </si>
  <si>
    <t>39 Parkside</t>
  </si>
  <si>
    <t>CB1 1PN</t>
  </si>
  <si>
    <t>h.murphy@barrellison.co.uk</t>
  </si>
  <si>
    <t>Glanvilles LLP</t>
  </si>
  <si>
    <t>Langstone Gate</t>
  </si>
  <si>
    <t>Solent Road</t>
  </si>
  <si>
    <t>Havant</t>
  </si>
  <si>
    <t>PO9 1TR</t>
  </si>
  <si>
    <t>katharine.blower@glanvilles.co.uk</t>
  </si>
  <si>
    <t>West Wing, Cams Hall</t>
  </si>
  <si>
    <t>Cans Hill</t>
  </si>
  <si>
    <t>PO16 8AB</t>
  </si>
  <si>
    <t>Katharine.blower@glanvilles.co.uk</t>
  </si>
  <si>
    <t>45 South Street</t>
  </si>
  <si>
    <t>PO19 1DS</t>
  </si>
  <si>
    <t>hello@glanvilles.co.uk</t>
  </si>
  <si>
    <t>Wisteria House, Market Square</t>
  </si>
  <si>
    <t>Petworth</t>
  </si>
  <si>
    <t>GU28 0AJ</t>
  </si>
  <si>
    <t>Lyons and Company Conveyancing LLP</t>
  </si>
  <si>
    <t>6 Anchor Crescent</t>
  </si>
  <si>
    <t>Knaphill</t>
  </si>
  <si>
    <t>GU21 2PD</t>
  </si>
  <si>
    <t>emma@lyonsandcompany.co.uk</t>
  </si>
  <si>
    <t>MG Legal Solicitors Ltd</t>
  </si>
  <si>
    <t>7 Pringle Court</t>
  </si>
  <si>
    <t>PR3 1LN</t>
  </si>
  <si>
    <t>ccardwell@mglegal.co.uk</t>
  </si>
  <si>
    <t>1 Westbourne Road</t>
  </si>
  <si>
    <t>LA1 5DB</t>
  </si>
  <si>
    <t>2 Calder Avenue</t>
  </si>
  <si>
    <t>Longridge</t>
  </si>
  <si>
    <t>PR3 3HT</t>
  </si>
  <si>
    <t>Smalleys Solicitors Ltd</t>
  </si>
  <si>
    <t>Venture House, Cross Street</t>
  </si>
  <si>
    <t>Arnold</t>
  </si>
  <si>
    <t xml:space="preserve">Nottingham </t>
  </si>
  <si>
    <t>NG5 7PJ</t>
  </si>
  <si>
    <t>deanne.taylor@smalleyssolicitors.co.uk</t>
  </si>
  <si>
    <t>Whitehead Monckton Limited</t>
  </si>
  <si>
    <t>5 Eclipse Park</t>
  </si>
  <si>
    <t>Sittingbourne Road</t>
  </si>
  <si>
    <t>ME14 3EN</t>
  </si>
  <si>
    <t>amandaadie@wmlaw.uk</t>
  </si>
  <si>
    <t>Unit 3-4 Market Square, High Street</t>
  </si>
  <si>
    <t>Tenterden</t>
  </si>
  <si>
    <t>TN30 6BN</t>
  </si>
  <si>
    <t>32-33 Watling Street</t>
  </si>
  <si>
    <t>CT1 2AN</t>
  </si>
  <si>
    <t>Unit G13, Marlowe Innovation Centre</t>
  </si>
  <si>
    <t>Marlowe Way</t>
  </si>
  <si>
    <t>Ramsgate</t>
  </si>
  <si>
    <t>CT12 6FA</t>
  </si>
  <si>
    <t>lizdack@wmlaw.uk</t>
  </si>
  <si>
    <t>Lewis Nedas Law Ltd</t>
  </si>
  <si>
    <t>24 Camden High Street</t>
  </si>
  <si>
    <t>NW1 0JH</t>
  </si>
  <si>
    <t>jgalman@lewisnedas.co.uk</t>
  </si>
  <si>
    <t>MARCHES LAW</t>
  </si>
  <si>
    <t>1 St Peters Square</t>
  </si>
  <si>
    <t>HR1 2PG</t>
  </si>
  <si>
    <t>marcheslaw@hotmail.co.uk</t>
  </si>
  <si>
    <t>34 Teme Street</t>
  </si>
  <si>
    <t xml:space="preserve">Tenbury Wells </t>
  </si>
  <si>
    <t>WR15 8AA</t>
  </si>
  <si>
    <t>Kidd Rapinet LLP</t>
  </si>
  <si>
    <t>Ground Floor, Walker House, George Street</t>
  </si>
  <si>
    <t>HP20 2HU</t>
  </si>
  <si>
    <t>khaycock@kiddrapinet.co.uk</t>
  </si>
  <si>
    <t>29 Harbour Exchange Square</t>
  </si>
  <si>
    <t>E14 9GE</t>
  </si>
  <si>
    <t>Sovereign House</t>
  </si>
  <si>
    <t>17 South Street</t>
  </si>
  <si>
    <t>GU9 7QU</t>
  </si>
  <si>
    <t>33 Queen Street</t>
  </si>
  <si>
    <t>SL6 1ND</t>
  </si>
  <si>
    <t>392 Edinburgh Avenue</t>
  </si>
  <si>
    <t>Slough Trading Estate</t>
  </si>
  <si>
    <t>SL1 4UF</t>
  </si>
  <si>
    <t>The Old Registry</t>
  </si>
  <si>
    <t>20 Amersham Hill</t>
  </si>
  <si>
    <t>HP13 6NZ</t>
  </si>
  <si>
    <t>Bird Wilford &amp; Sale Limited</t>
  </si>
  <si>
    <t>20 Church Gate</t>
  </si>
  <si>
    <t>LE11 1UD</t>
  </si>
  <si>
    <t>eb@bwslaw.co.uk</t>
  </si>
  <si>
    <t>Breese Gwyndaf</t>
  </si>
  <si>
    <t>60 High Street</t>
  </si>
  <si>
    <t>Porthmadog</t>
  </si>
  <si>
    <t>LL49 9LL</t>
  </si>
  <si>
    <t>bethane@bg-law.co.uk</t>
  </si>
  <si>
    <t>Glanaig, High Street</t>
  </si>
  <si>
    <t>LL42 1DW</t>
  </si>
  <si>
    <t>david@bg-law.co.uk</t>
  </si>
  <si>
    <t>Madoc Buildings</t>
  </si>
  <si>
    <t>Pwllheli</t>
  </si>
  <si>
    <t>LL53 5HP</t>
  </si>
  <si>
    <t>pwllheli@bg-law.co.uk</t>
  </si>
  <si>
    <t>Hibberts LLP</t>
  </si>
  <si>
    <t>25 Barker Street</t>
  </si>
  <si>
    <t>CW5 5EN</t>
  </si>
  <si>
    <t>Claire.Dobson@hibberts.com</t>
  </si>
  <si>
    <t>Tarporley</t>
  </si>
  <si>
    <t>CW6 0DR</t>
  </si>
  <si>
    <t>CD@hibberts.com</t>
  </si>
  <si>
    <t>144 Nantwich Road</t>
  </si>
  <si>
    <t>CW2 6BG</t>
  </si>
  <si>
    <t>sb@hibberts.com</t>
  </si>
  <si>
    <t>AJD Law Limited</t>
  </si>
  <si>
    <t>22 Front Street</t>
  </si>
  <si>
    <t>Whickham</t>
  </si>
  <si>
    <t>NE16 4DT</t>
  </si>
  <si>
    <t>AD@22LAW.CO.UK</t>
  </si>
  <si>
    <t xml:space="preserve">Suite 3, 1 Alexandra Terrace </t>
  </si>
  <si>
    <t>Sunniside</t>
  </si>
  <si>
    <t>NE16 5LH</t>
  </si>
  <si>
    <t>kfg@22law.co.uk</t>
  </si>
  <si>
    <t xml:space="preserve">Stanley </t>
  </si>
  <si>
    <t xml:space="preserve">16 Clifford Road </t>
  </si>
  <si>
    <t>DH9 0AB</t>
  </si>
  <si>
    <t>info@22law.co.uk</t>
  </si>
  <si>
    <t>Druitts Limited</t>
  </si>
  <si>
    <t>Borough Chambers, Fir Vale Road</t>
  </si>
  <si>
    <t>BH1 2JE</t>
  </si>
  <si>
    <t>chris.clifford@druitts.co.uk</t>
  </si>
  <si>
    <t>Fairstep Solicitors Limited</t>
  </si>
  <si>
    <t>174 - 176 Hamilton Road</t>
  </si>
  <si>
    <t>IP11 7DU</t>
  </si>
  <si>
    <t>aiden@fairstep.co.uk</t>
  </si>
  <si>
    <t>2B Riduna Park</t>
  </si>
  <si>
    <t>IP12 1QT</t>
  </si>
  <si>
    <t>woodbridge@fairstep.co.uk</t>
  </si>
  <si>
    <t xml:space="preserve">Nelson Myatt Solicitors (Wales) Limited </t>
  </si>
  <si>
    <t>Suite 6, Conwy Business Centre</t>
  </si>
  <si>
    <t>Junction Way</t>
  </si>
  <si>
    <t>Llandudno Junction</t>
  </si>
  <si>
    <t>LL31 9XX</t>
  </si>
  <si>
    <t>claire@nelsonmyatt.com</t>
  </si>
  <si>
    <t>Enoch Evans LLP</t>
  </si>
  <si>
    <t>St Pauls Chambers, 6-9 Hatherton Road</t>
  </si>
  <si>
    <t>West Midalnds</t>
  </si>
  <si>
    <t>WS1 1XS</t>
  </si>
  <si>
    <t>EE@enoch-evans.co.uk</t>
  </si>
  <si>
    <t>5 Emmanuel Court, 2 Mill Street</t>
  </si>
  <si>
    <t>B72 1TJ</t>
  </si>
  <si>
    <t>The Graduation Centre</t>
  </si>
  <si>
    <t>Progress Drive</t>
  </si>
  <si>
    <t>WS11 0JF</t>
  </si>
  <si>
    <t>TQ Law Limited</t>
  </si>
  <si>
    <t>54 Church Street</t>
  </si>
  <si>
    <t>LEIGH</t>
  </si>
  <si>
    <t>legal@tqlaw.legal</t>
  </si>
  <si>
    <t>Core Legal Limited</t>
  </si>
  <si>
    <t>Core Legal House</t>
  </si>
  <si>
    <t>12 Falcon Court</t>
  </si>
  <si>
    <t>Preston Farm</t>
  </si>
  <si>
    <t>Stockton On Tees</t>
  </si>
  <si>
    <t>sally.crone@corelegal.co.uk</t>
  </si>
  <si>
    <t>Brewers Court</t>
  </si>
  <si>
    <t>164 Westgate</t>
  </si>
  <si>
    <t xml:space="preserve">Wakefield </t>
  </si>
  <si>
    <t>WF2 9SR</t>
  </si>
  <si>
    <t xml:space="preserve">13 Escrick Business Park </t>
  </si>
  <si>
    <t xml:space="preserve">Escrick </t>
  </si>
  <si>
    <t>YO19 6FD</t>
  </si>
  <si>
    <t>SO Legal Limited</t>
  </si>
  <si>
    <t>15 Gildrege Road</t>
  </si>
  <si>
    <t>BN21 4RB</t>
  </si>
  <si>
    <t>dmercer@solegal.co.uk</t>
  </si>
  <si>
    <t>11 Prince Albert Street</t>
  </si>
  <si>
    <t>BN1 1HE</t>
  </si>
  <si>
    <t>8-10 Trinity Street</t>
  </si>
  <si>
    <t>TN34 1HG</t>
  </si>
  <si>
    <t>Suite 1, Marl Business Park</t>
  </si>
  <si>
    <t>Morecambe Road</t>
  </si>
  <si>
    <t>LA12 9BN</t>
  </si>
  <si>
    <t>29 Lincoln's Inn Fields</t>
  </si>
  <si>
    <t>First Floor</t>
  </si>
  <si>
    <t>2 Queens Parade</t>
  </si>
  <si>
    <t xml:space="preserve">Bath </t>
  </si>
  <si>
    <t>BA1 2NJ</t>
  </si>
  <si>
    <t>ssperring@solegal.co.uk</t>
  </si>
  <si>
    <t>Tonner Johns Ratti Limited</t>
  </si>
  <si>
    <t>47-48 Walter Road</t>
  </si>
  <si>
    <t>SA1 5PW</t>
  </si>
  <si>
    <t>claired@tonnerjohns.co.uk</t>
  </si>
  <si>
    <t>Russell Malvern Limited</t>
  </si>
  <si>
    <t>Holland House, Church Street</t>
  </si>
  <si>
    <t>WR14 2AH</t>
  </si>
  <si>
    <t>julie@russelllaw.co.uk</t>
  </si>
  <si>
    <t>18 New Street</t>
  </si>
  <si>
    <t>14-16 High Street</t>
  </si>
  <si>
    <t>B61 8HQ</t>
  </si>
  <si>
    <t>BakerLaw LLP</t>
  </si>
  <si>
    <t>Gostrey House, Union Road</t>
  </si>
  <si>
    <t>kevin.duffy@baker-law.co.uk</t>
  </si>
  <si>
    <t>GLP (Prestwich) LLP</t>
  </si>
  <si>
    <t>Portland Terrace, 9 Fairfax Road</t>
  </si>
  <si>
    <t>M25 1AS</t>
  </si>
  <si>
    <t>carol-ann.duke@glplaw.com</t>
  </si>
  <si>
    <t>City Solicitors Ltd</t>
  </si>
  <si>
    <t>Mermaid House, 2nd Floor, 2 Puddle Dock,</t>
  </si>
  <si>
    <t>EC4V 3DB</t>
  </si>
  <si>
    <t>info@faranitaylor.com</t>
  </si>
  <si>
    <t xml:space="preserve">112 High Road </t>
  </si>
  <si>
    <t>IG1 1BY</t>
  </si>
  <si>
    <t>Norbury</t>
  </si>
  <si>
    <t>1534 London Road</t>
  </si>
  <si>
    <t>SW16 4EU</t>
  </si>
  <si>
    <t>Bespoke Law Services (UK) Limited</t>
  </si>
  <si>
    <t>Burns House, Harlands Road</t>
  </si>
  <si>
    <t>Hayward Heath</t>
  </si>
  <si>
    <t>RH16 1PG</t>
  </si>
  <si>
    <t>christine@bespokelawservices.co.uk</t>
  </si>
  <si>
    <t>Hennah Haywood Law Ltd</t>
  </si>
  <si>
    <t>13 Clytha Park Road</t>
  </si>
  <si>
    <t>NP20 4PB</t>
  </si>
  <si>
    <t>nathanh@hh-law.uk</t>
  </si>
  <si>
    <t>Alletsons Limited</t>
  </si>
  <si>
    <t>8 Castle Street</t>
  </si>
  <si>
    <t>TA6 3DB</t>
  </si>
  <si>
    <t>annaupham@alletsons.co.uk</t>
  </si>
  <si>
    <t>Keelys LLP</t>
  </si>
  <si>
    <t>28 Dam Street</t>
  </si>
  <si>
    <t>slawrence@keelys.co.uk</t>
  </si>
  <si>
    <t>Sampson Coward LLP</t>
  </si>
  <si>
    <t>St. Mary's Chambers, 51 New Street</t>
  </si>
  <si>
    <t>SP1 2PH</t>
  </si>
  <si>
    <t>conveyancing@sampsoncoward.co.uk</t>
  </si>
  <si>
    <t>Close Gate Chambers, 60 High Street</t>
  </si>
  <si>
    <t>SP1 2PQ</t>
  </si>
  <si>
    <t>mail@sampsoncoward.co.uk</t>
  </si>
  <si>
    <t>Withers LLP</t>
  </si>
  <si>
    <t>20 Old Bailey</t>
  </si>
  <si>
    <t>EC4M 7AN</t>
  </si>
  <si>
    <t>nicholas.vaughan@withersworldwide.com</t>
  </si>
  <si>
    <t>JS Law Limited</t>
  </si>
  <si>
    <t>1 Frances Way</t>
  </si>
  <si>
    <t>Grove Park</t>
  </si>
  <si>
    <t>Leicester, Leicestershire</t>
  </si>
  <si>
    <t>LE19 1SH</t>
  </si>
  <si>
    <t>Simon.Law@js-law.co.uk</t>
  </si>
  <si>
    <t xml:space="preserve">Ward Gethin Archer Limited </t>
  </si>
  <si>
    <t>3 Regis Place, Bergen Way</t>
  </si>
  <si>
    <t>North Lynn Industrial Estate</t>
  </si>
  <si>
    <t>PE30 2JN</t>
  </si>
  <si>
    <t>enquiries@wga.co.uk</t>
  </si>
  <si>
    <t>Heacham</t>
  </si>
  <si>
    <t xml:space="preserve">Chancery House </t>
  </si>
  <si>
    <t>8 High Street</t>
  </si>
  <si>
    <t>PE31 7ER</t>
  </si>
  <si>
    <t>Archer House, Market Place</t>
  </si>
  <si>
    <t>CB7 4QN</t>
  </si>
  <si>
    <t>Swaffham</t>
  </si>
  <si>
    <t>Ventnor House, 11 London Street</t>
  </si>
  <si>
    <t>PE37 7BW</t>
  </si>
  <si>
    <t>16-18 High Street</t>
  </si>
  <si>
    <t>NR19 1DR</t>
  </si>
  <si>
    <t>Chatteris</t>
  </si>
  <si>
    <t>9 Park Street</t>
  </si>
  <si>
    <t>PE16 6AB</t>
  </si>
  <si>
    <t>21 London Road</t>
  </si>
  <si>
    <t>PE38 9AW</t>
  </si>
  <si>
    <t>Martin-Kaye LLP</t>
  </si>
  <si>
    <t>The Foundry</t>
  </si>
  <si>
    <t>Euston Way</t>
  </si>
  <si>
    <t>TF3 4LY</t>
  </si>
  <si>
    <t>property@martinkaye.co.uk</t>
  </si>
  <si>
    <t>Tettenhall</t>
  </si>
  <si>
    <t>WV6 8QT</t>
  </si>
  <si>
    <t>law@martinkaye.co.uk</t>
  </si>
  <si>
    <t xml:space="preserve">3-4 St Johns Hill </t>
  </si>
  <si>
    <t>SY1 1JD</t>
  </si>
  <si>
    <t>Ashfield House</t>
  </si>
  <si>
    <t>Foxholes</t>
  </si>
  <si>
    <t>Wem</t>
  </si>
  <si>
    <t>SY4 5UJ</t>
  </si>
  <si>
    <t>F W Meggitt &amp; Co Ltd</t>
  </si>
  <si>
    <t>Apt 9, Queens Stables, 82 Park Grange Road</t>
  </si>
  <si>
    <t>S2 3RU</t>
  </si>
  <si>
    <t>benkeating@kmclegal.co.uk</t>
  </si>
  <si>
    <t xml:space="preserve">21-23 Broad Green Road </t>
  </si>
  <si>
    <t xml:space="preserve">Liverpool </t>
  </si>
  <si>
    <t>L13 5SD</t>
  </si>
  <si>
    <t>First Floor, 125 Telegraph Rd,</t>
  </si>
  <si>
    <t>CH60 0AF</t>
  </si>
  <si>
    <t>lornaferguson@kmclegal.co.uk</t>
  </si>
  <si>
    <t>191 Ashley Road</t>
  </si>
  <si>
    <t>WA15 9SQ</t>
  </si>
  <si>
    <t>O'Donnell Solicitors Limited</t>
  </si>
  <si>
    <t>Appleby's Business Centre, 3 Mossley Road</t>
  </si>
  <si>
    <t>Grasscroft</t>
  </si>
  <si>
    <t>Saddleworth</t>
  </si>
  <si>
    <t>OL4 4HH</t>
  </si>
  <si>
    <t>rebecca@odonnellsolicitors.co.uk</t>
  </si>
  <si>
    <t>First Floor, 91-93 High Street, Uppermill</t>
  </si>
  <si>
    <t>OL3 6BD</t>
  </si>
  <si>
    <t>44 High Street</t>
  </si>
  <si>
    <t>Uppermill</t>
  </si>
  <si>
    <t>OL3 6HA</t>
  </si>
  <si>
    <t>KNAPMAN &amp; CO</t>
  </si>
  <si>
    <t>16 Dendy Road</t>
  </si>
  <si>
    <t>Paignton</t>
  </si>
  <si>
    <t>TQ4 5DB</t>
  </si>
  <si>
    <t>ray.patterson@knapmansolicitor.co.uk</t>
  </si>
  <si>
    <t>Seatons Law Limited</t>
  </si>
  <si>
    <t>1 Alexandra Road</t>
  </si>
  <si>
    <t>NN17 1PE</t>
  </si>
  <si>
    <t>gemma@seatons.co.uk</t>
  </si>
  <si>
    <t>6 Market Street</t>
  </si>
  <si>
    <t>NN16 0AH</t>
  </si>
  <si>
    <t>emma@seatons.co.uk</t>
  </si>
  <si>
    <t>Gilroy Steel Solicitors Limited</t>
  </si>
  <si>
    <t>Old Town Hall</t>
  </si>
  <si>
    <t>Buckingham</t>
  </si>
  <si>
    <t>MK18 1NJ</t>
  </si>
  <si>
    <t>claire.page@gilroysteel.com</t>
  </si>
  <si>
    <t>16 Market Place</t>
  </si>
  <si>
    <t>NN13 7BG</t>
  </si>
  <si>
    <t>brackley@gilroysteel.com</t>
  </si>
  <si>
    <t>Orchard Barn</t>
  </si>
  <si>
    <t>Brookwell, Brook Street</t>
  </si>
  <si>
    <t>Hargrave</t>
  </si>
  <si>
    <t>NN9 6BP</t>
  </si>
  <si>
    <t>kelly.steel@gilroysteel.com</t>
  </si>
  <si>
    <t>Clements &amp; Co Solicitors Limited</t>
  </si>
  <si>
    <t>73-75 Cae Glas Road</t>
  </si>
  <si>
    <t>Rumney</t>
  </si>
  <si>
    <t>CF3 3JX</t>
  </si>
  <si>
    <t>mail@clementsandco.org.uk</t>
  </si>
  <si>
    <t>Connect2Law Ltd</t>
  </si>
  <si>
    <t>Oriel House, 26 The Quadrant</t>
  </si>
  <si>
    <t>TW9 1DL</t>
  </si>
  <si>
    <t>enquiries@connect2law.com</t>
  </si>
  <si>
    <t>Fishers Solicitors</t>
  </si>
  <si>
    <t>Unit R, Ivanhoe Business Park</t>
  </si>
  <si>
    <t>LE65 2AB</t>
  </si>
  <si>
    <t>conveyancing@fisherslaw.co.uk</t>
  </si>
  <si>
    <t>Hutchinson Thomas</t>
  </si>
  <si>
    <t>Pendrill Court, 119 London Road</t>
  </si>
  <si>
    <t>SA11 1LF</t>
  </si>
  <si>
    <t>huw.jones@hutchinsonthomas.com</t>
  </si>
  <si>
    <t>Suite Gf8, Ethos, Kings Road</t>
  </si>
  <si>
    <t>SA1 8AS</t>
  </si>
  <si>
    <t>FrontofHouse-swansea@hutchinsonthomas.com</t>
  </si>
  <si>
    <t>Charles Newton &amp; Co</t>
  </si>
  <si>
    <t>6-8 Bath Street</t>
  </si>
  <si>
    <t>Ilkeston</t>
  </si>
  <si>
    <t>DE7 8FB</t>
  </si>
  <si>
    <t>ccn@charlesnewton.co.uk</t>
  </si>
  <si>
    <t>5 Alexandra Street</t>
  </si>
  <si>
    <t>Eastwood</t>
  </si>
  <si>
    <t>NG16 3BD</t>
  </si>
  <si>
    <t>Freers Askew Bunting Solicitors Limited</t>
  </si>
  <si>
    <t>19-25 Baker Street</t>
  </si>
  <si>
    <t>TS1 2LF</t>
  </si>
  <si>
    <t>enquiries@fabsolicitors.co.uk</t>
  </si>
  <si>
    <t>Guisborough</t>
  </si>
  <si>
    <t>The Buck, 4 Market Place</t>
  </si>
  <si>
    <t>TS14 6HF</t>
  </si>
  <si>
    <t>The Innovation Centre, Venture Court,</t>
  </si>
  <si>
    <t xml:space="preserve">Queens Meadow Business Park, </t>
  </si>
  <si>
    <t>TS25 5TG</t>
  </si>
  <si>
    <t>Andrew.dixon@fabsolicitors.co.uk</t>
  </si>
  <si>
    <t>4 Ellerbeck Way</t>
  </si>
  <si>
    <t>Stokesley Business Park</t>
  </si>
  <si>
    <t>TS9 5JZ</t>
  </si>
  <si>
    <t>Joe Egan Solicitors Ltd</t>
  </si>
  <si>
    <t>13 Mawdsley Street</t>
  </si>
  <si>
    <t>BL1 1JZ</t>
  </si>
  <si>
    <t>anatassal@joeegansolicitors.co.uk</t>
  </si>
  <si>
    <t>Old Bank Chambers, 97-99 Market Street</t>
  </si>
  <si>
    <t>BL4 7NS</t>
  </si>
  <si>
    <t>Brooks Law Limited</t>
  </si>
  <si>
    <t>13 St Augustine's Gate</t>
  </si>
  <si>
    <t>Hedon</t>
  </si>
  <si>
    <t>HU12 8EU</t>
  </si>
  <si>
    <t>info@janebrookslaw.co.uk</t>
  </si>
  <si>
    <t>112 King Street</t>
  </si>
  <si>
    <t>HU16 5QE</t>
  </si>
  <si>
    <t>6 Earls Court, Priory Park East</t>
  </si>
  <si>
    <t>356 Holderness Road</t>
  </si>
  <si>
    <t>HU9 3DQ</t>
  </si>
  <si>
    <t>Hay &amp; Kilner LLP</t>
  </si>
  <si>
    <t>The Lumen</t>
  </si>
  <si>
    <t>St James' Boulevard, Newcastle Helix</t>
  </si>
  <si>
    <t>NE4 5BZ</t>
  </si>
  <si>
    <t>claire.simmons@hay-kilner.co.uk</t>
  </si>
  <si>
    <t>Laurus Law Limited</t>
  </si>
  <si>
    <t>30 Dukes Place</t>
  </si>
  <si>
    <t>EC3A 7LP</t>
  </si>
  <si>
    <t>hansa.pindolia@lauruslaw.co.uk</t>
  </si>
  <si>
    <t>The Old Print House, 173 Northcote Road</t>
  </si>
  <si>
    <t>SW11 6QE</t>
  </si>
  <si>
    <t xml:space="preserve">info@lauruslaw.co.uk </t>
  </si>
  <si>
    <t>Hill Johnson &amp; Leo</t>
  </si>
  <si>
    <t>59 Victoria Road</t>
  </si>
  <si>
    <t>Surbiton</t>
  </si>
  <si>
    <t>KT6 4NQ</t>
  </si>
  <si>
    <t>leigh@hjlsolicitors.com</t>
  </si>
  <si>
    <t>Pinney Talfourd LLP</t>
  </si>
  <si>
    <t>54 Station Road</t>
  </si>
  <si>
    <t>Upminster</t>
  </si>
  <si>
    <t>RM14 2TU</t>
  </si>
  <si>
    <t>mail@pinneytalfourd.co.uk</t>
  </si>
  <si>
    <t>Crown House, 40 North Street</t>
  </si>
  <si>
    <t>RM11 1EW</t>
  </si>
  <si>
    <t>1 Cathedral Place</t>
  </si>
  <si>
    <t>CM14 4ES</t>
  </si>
  <si>
    <t>contact@pinneytalfourd.co.uk</t>
  </si>
  <si>
    <t>30 High Street</t>
  </si>
  <si>
    <t>CM14 4AJ</t>
  </si>
  <si>
    <t>CLP Group Limited</t>
  </si>
  <si>
    <t>Queen Square House</t>
  </si>
  <si>
    <t>18-21 Queen Square</t>
  </si>
  <si>
    <t>practice.management@carbonlawpartners.com</t>
  </si>
  <si>
    <t>Temple Back East</t>
  </si>
  <si>
    <t>Sharp Cross &amp; Mann LLP</t>
  </si>
  <si>
    <t>13 York Street</t>
  </si>
  <si>
    <t>OL10 4NN</t>
  </si>
  <si>
    <t>rjc@sharpcrossandmann.co.uk</t>
  </si>
  <si>
    <t>Clifford Johnston and Co Limited</t>
  </si>
  <si>
    <t>434 Burnage Lane</t>
  </si>
  <si>
    <t>M19 1LH</t>
  </si>
  <si>
    <t>c.furbey@cj-law.co.uk</t>
  </si>
  <si>
    <t>Heaton Moor</t>
  </si>
  <si>
    <t>107 Heaton Moor Road</t>
  </si>
  <si>
    <t>SK4 4HY</t>
  </si>
  <si>
    <t>Chan Neill Solicitors LLP</t>
  </si>
  <si>
    <t>120 Cannon Street</t>
  </si>
  <si>
    <t>EC4N 6AS</t>
  </si>
  <si>
    <t>ffakhrul@cnsolicitors.com</t>
  </si>
  <si>
    <t>3rd floor, 36 Upper Brook Street</t>
  </si>
  <si>
    <t>W1K 7QJ</t>
  </si>
  <si>
    <t>12-13 Little Newport Street</t>
  </si>
  <si>
    <t>WC2H 7JJ</t>
  </si>
  <si>
    <t>Kingswell Watts Solicitors Limited</t>
  </si>
  <si>
    <t>WF13 1JX</t>
  </si>
  <si>
    <t>asif.abubaker@kingswellwatts.co.uk</t>
  </si>
  <si>
    <t>TML Solicitors Limited</t>
  </si>
  <si>
    <t>87 London Road</t>
  </si>
  <si>
    <t>LE2 0PF</t>
  </si>
  <si>
    <t>dav@tml-solicitors.co.uk</t>
  </si>
  <si>
    <t>Lifetime Wills And Trusts Limited</t>
  </si>
  <si>
    <t>Unit 3 Southview Business Park</t>
  </si>
  <si>
    <t>Tinwell Road</t>
  </si>
  <si>
    <t>PE9 2JL</t>
  </si>
  <si>
    <t>connor.young@lifetimesolicitors.co.uk</t>
  </si>
  <si>
    <t>Backhouse Solicitors Ltd</t>
  </si>
  <si>
    <t>17 Duke Street</t>
  </si>
  <si>
    <t>CM1 1JU</t>
  </si>
  <si>
    <t>sarah.smith@backhouse-solicitors.co.uk</t>
  </si>
  <si>
    <t>Clough &amp; Willis</t>
  </si>
  <si>
    <t>2 Manchester Road</t>
  </si>
  <si>
    <t>BL9 0DT</t>
  </si>
  <si>
    <t>Caroline.rimmer@clough-willis.co.uk</t>
  </si>
  <si>
    <t>58 Market Street</t>
  </si>
  <si>
    <t>Little Lever</t>
  </si>
  <si>
    <t>BL3 1HN</t>
  </si>
  <si>
    <t>PDR Property Lawyers Ltd</t>
  </si>
  <si>
    <t>8 Market Street</t>
  </si>
  <si>
    <t>Whittlesey</t>
  </si>
  <si>
    <t>PE7 1BD</t>
  </si>
  <si>
    <t>michelle.rickard@pdrpropertylaw.com</t>
  </si>
  <si>
    <t>Frieston Enterprise Park</t>
  </si>
  <si>
    <t>Frieston</t>
  </si>
  <si>
    <t>PE22 0JZ</t>
  </si>
  <si>
    <t>Michelle.rickard@pdrpropertylaw.com</t>
  </si>
  <si>
    <t>Wall James Chappell</t>
  </si>
  <si>
    <t>15-23 Hagley Road</t>
  </si>
  <si>
    <t>DY8 1QW</t>
  </si>
  <si>
    <t>t.clack@wjclaw.co.uk</t>
  </si>
  <si>
    <t>Fahri LLP</t>
  </si>
  <si>
    <t>Unit 3 Mountview Court, 310 Friern Barnet Lane</t>
  </si>
  <si>
    <t>N20 0LD</t>
  </si>
  <si>
    <t>propertyteam@fahrillp.com</t>
  </si>
  <si>
    <t>Suite 2, Ground Floor, Prince Of Wales House</t>
  </si>
  <si>
    <t>3 Bluecoats Avenue</t>
  </si>
  <si>
    <t>SG14 1PB</t>
  </si>
  <si>
    <t>info@fahrillp.com</t>
  </si>
  <si>
    <t>DP Conveyancing &amp; Property Law Limited</t>
  </si>
  <si>
    <t>B7 Marquis Court</t>
  </si>
  <si>
    <t>Team Valley, Trading Estate</t>
  </si>
  <si>
    <t>NE11 0RU</t>
  </si>
  <si>
    <t>dawn.pickett@dpconveyancing.co.uk</t>
  </si>
  <si>
    <t>Leigh Duncan LLP</t>
  </si>
  <si>
    <t>4 Burkes Parade</t>
  </si>
  <si>
    <t>HP9 1NN</t>
  </si>
  <si>
    <t>janineheil@leighduncan.co.uk</t>
  </si>
  <si>
    <t>Peter Robinson &amp; Co (Property Lawyers) Limited</t>
  </si>
  <si>
    <t>27 Queen Street</t>
  </si>
  <si>
    <t>tammy@peterrobinsonandco.com</t>
  </si>
  <si>
    <t>Curtis Law Solicitors Limited</t>
  </si>
  <si>
    <t>Belthorn House, Walker Business Park, Walker Road</t>
  </si>
  <si>
    <t>Guide</t>
  </si>
  <si>
    <t>ish.ahmed@curtislaw.co.uk</t>
  </si>
  <si>
    <t>26 Limbrick</t>
  </si>
  <si>
    <t>BB1 8AA</t>
  </si>
  <si>
    <t>255 Wilmslow Road</t>
  </si>
  <si>
    <t>M14 5LW</t>
  </si>
  <si>
    <t>McPhersons Solicitors LLP</t>
  </si>
  <si>
    <t>5 Meon Hill Farm</t>
  </si>
  <si>
    <t>Salisbury Hill</t>
  </si>
  <si>
    <t>Stockbridge</t>
  </si>
  <si>
    <t>SO20 6HS</t>
  </si>
  <si>
    <t>office@mcphersonslegal.co.uk</t>
  </si>
  <si>
    <t>George Green LLP</t>
  </si>
  <si>
    <t>195 High Street</t>
  </si>
  <si>
    <t xml:space="preserve">Cradley Heath </t>
  </si>
  <si>
    <t>B64 5HW</t>
  </si>
  <si>
    <t>residentialconveyancing@georgegreen.co.uk</t>
  </si>
  <si>
    <t>Second Floor, 4 Emmanuel Court</t>
  </si>
  <si>
    <t>Reddicroft</t>
  </si>
  <si>
    <t>B73 6AZ</t>
  </si>
  <si>
    <t>19 Waterloo Road</t>
  </si>
  <si>
    <t>WV1 4DY</t>
  </si>
  <si>
    <t>Vas Solicitors Limited</t>
  </si>
  <si>
    <t>156 London Road</t>
  </si>
  <si>
    <t>CR4 3LD</t>
  </si>
  <si>
    <t>vas@vassolicitors.co.uk</t>
  </si>
  <si>
    <t>278 High Street</t>
  </si>
  <si>
    <t>SM1 1PG</t>
  </si>
  <si>
    <t xml:space="preserve">vas@vassolicitors.co.uk </t>
  </si>
  <si>
    <t>Kilvington Solicitors Limited</t>
  </si>
  <si>
    <t>Westmorland House</t>
  </si>
  <si>
    <t xml:space="preserve">Market Square </t>
  </si>
  <si>
    <t>CA17 4QT</t>
  </si>
  <si>
    <t>kayt@kilvingtonsolicitors.co.uk</t>
  </si>
  <si>
    <t>Scotts Hall &amp; Birtles Ltd</t>
  </si>
  <si>
    <t>DL8 5AP</t>
  </si>
  <si>
    <t>lisa.trout@shblegal.co.uk</t>
  </si>
  <si>
    <t>Greyfriars, 15 King Street</t>
  </si>
  <si>
    <t>DL10 4HP</t>
  </si>
  <si>
    <t>The Office, Golden Lion Yard</t>
  </si>
  <si>
    <t>DL8 5AS</t>
  </si>
  <si>
    <t>Bank Chambers, Main Street</t>
  </si>
  <si>
    <t>DL8 3QL</t>
  </si>
  <si>
    <t>HS Lawyers Limited</t>
  </si>
  <si>
    <t>12 Birmingham Road</t>
  </si>
  <si>
    <t>B71 4JZ</t>
  </si>
  <si>
    <t>harsimran@hs-lawyers.co.uk</t>
  </si>
  <si>
    <t xml:space="preserve">178 Dudley Road </t>
  </si>
  <si>
    <t>WV2 3DR</t>
  </si>
  <si>
    <t>34a Lincoln Road</t>
  </si>
  <si>
    <t>PE1 2RL</t>
  </si>
  <si>
    <t>Monarch Solicitors Ltd</t>
  </si>
  <si>
    <t>City Point</t>
  </si>
  <si>
    <t>156 Chapel Street</t>
  </si>
  <si>
    <t>M3 6BF</t>
  </si>
  <si>
    <t>accounts@monarchsolicitors.com</t>
  </si>
  <si>
    <t>Collier Littler LLP</t>
  </si>
  <si>
    <t>411-413 Stockport Road</t>
  </si>
  <si>
    <t>WA15 7XR</t>
  </si>
  <si>
    <t>david.hensley@collierlittler.com</t>
  </si>
  <si>
    <t>Milwyn Jenkins and Jenkins Ltd</t>
  </si>
  <si>
    <t>Mid Wales House</t>
  </si>
  <si>
    <t>Great Oak Street</t>
  </si>
  <si>
    <t>Llanidloes</t>
  </si>
  <si>
    <t>SY18 6BN</t>
  </si>
  <si>
    <t>adrian@mjjsolicitors.co.uk</t>
  </si>
  <si>
    <t>Rhayader</t>
  </si>
  <si>
    <t>Glan Wye House, West Street</t>
  </si>
  <si>
    <t>LD6 5AD</t>
  </si>
  <si>
    <t>Machynlleth</t>
  </si>
  <si>
    <t>1-5 Heol Pentrerhedyn</t>
  </si>
  <si>
    <t>SY20 8DG</t>
  </si>
  <si>
    <t>william@mjjsolicitors.co.uk</t>
  </si>
  <si>
    <t>Hine Solicitors Limited</t>
  </si>
  <si>
    <t>285 Banbury Road</t>
  </si>
  <si>
    <t>natalieberry@hinesolicitors.com</t>
  </si>
  <si>
    <t>51 Amersham Road</t>
  </si>
  <si>
    <t>HP9 2HB</t>
  </si>
  <si>
    <t>17 East Common</t>
  </si>
  <si>
    <t>SL9 7AF</t>
  </si>
  <si>
    <t>149-151 Fairview Road</t>
  </si>
  <si>
    <t>GL52 2EX</t>
  </si>
  <si>
    <t>12 Temple Street</t>
  </si>
  <si>
    <t>enquiries@hinesolicitors.com</t>
  </si>
  <si>
    <t>Park House Business Centre</t>
  </si>
  <si>
    <t>Church Place</t>
  </si>
  <si>
    <t>SN1 5ED</t>
  </si>
  <si>
    <t>Evans &amp; Co</t>
  </si>
  <si>
    <t>1 Parker Terrace</t>
  </si>
  <si>
    <t>Ferryhill</t>
  </si>
  <si>
    <t>DL17 8JY</t>
  </si>
  <si>
    <t>debra.swinburn@evansco.co.uk</t>
  </si>
  <si>
    <t>33 Cheapside</t>
  </si>
  <si>
    <t>DL16 6QF</t>
  </si>
  <si>
    <t>spennymoor@evansco.co.uk</t>
  </si>
  <si>
    <t>ABC Worcester Limited</t>
  </si>
  <si>
    <t>Severn House, Prescott Drive,</t>
  </si>
  <si>
    <t xml:space="preserve">Worcester </t>
  </si>
  <si>
    <t>WR4 9NE</t>
  </si>
  <si>
    <t>leigh@bradleyhayneslaw.co.uk</t>
  </si>
  <si>
    <t>Jury O'Shea LLP</t>
  </si>
  <si>
    <t>7-9 Bream's Buildings</t>
  </si>
  <si>
    <t>EC4A 1DT</t>
  </si>
  <si>
    <t>info@juryoshea.com</t>
  </si>
  <si>
    <t>64 North Row</t>
  </si>
  <si>
    <t>W1K 7DA</t>
  </si>
  <si>
    <t xml:space="preserve">info@juryoshea.com </t>
  </si>
  <si>
    <t>The Dock Hub</t>
  </si>
  <si>
    <t>Wilbury Villas</t>
  </si>
  <si>
    <t>BN3 6AH</t>
  </si>
  <si>
    <t>Info@juryoshea.com</t>
  </si>
  <si>
    <t>195 Whiteladies Road</t>
  </si>
  <si>
    <t>Fodens Solicitors Limited</t>
  </si>
  <si>
    <t>Fodens Business Centre</t>
  </si>
  <si>
    <t>M54 Junction 6</t>
  </si>
  <si>
    <t>Lawley, Telford</t>
  </si>
  <si>
    <t>TF3 5HL</t>
  </si>
  <si>
    <t>kdavies@fodens.co.uk</t>
  </si>
  <si>
    <t>Standleys LLP</t>
  </si>
  <si>
    <t>1612 High Street</t>
  </si>
  <si>
    <t>B93 0JU</t>
  </si>
  <si>
    <t>huntj@standley.co.uk</t>
  </si>
  <si>
    <t>Holmes &amp; Hills LLP</t>
  </si>
  <si>
    <t>1 Market End</t>
  </si>
  <si>
    <t>Coggeshall</t>
  </si>
  <si>
    <t>CO6 1TP</t>
  </si>
  <si>
    <t>advice@holmes-hills.co.uk</t>
  </si>
  <si>
    <t>Dale Chambers, Bocking End</t>
  </si>
  <si>
    <t>CM7 9AJ</t>
  </si>
  <si>
    <t>complianceteam@holmes-hills.co.uk</t>
  </si>
  <si>
    <t>Trinity Street</t>
  </si>
  <si>
    <t>CO9 1JE</t>
  </si>
  <si>
    <t>96 North Street</t>
  </si>
  <si>
    <t>CO10 1RF</t>
  </si>
  <si>
    <t>A12 Commercial Hub, 86 London Road</t>
  </si>
  <si>
    <t>Marks Tey</t>
  </si>
  <si>
    <t>CO6 1ED</t>
  </si>
  <si>
    <t>Unit 2, Ketleys Place, 84a Church Road</t>
  </si>
  <si>
    <t>8 The Grove Centre</t>
  </si>
  <si>
    <t>CM8 2YT</t>
  </si>
  <si>
    <t>Hewitson &amp; Harker Limited</t>
  </si>
  <si>
    <t>Dartmouth House, Clifford Lister Business Park</t>
  </si>
  <si>
    <t>Bawtry Road</t>
  </si>
  <si>
    <t>Wickersley</t>
  </si>
  <si>
    <t>S66 2BL</t>
  </si>
  <si>
    <t>claire@hewitsonandharker.co.uk</t>
  </si>
  <si>
    <t>Suite B2, The Courtyard, Earl Road</t>
  </si>
  <si>
    <t>SK8 6GN</t>
  </si>
  <si>
    <t>Atkinson Firth Solicitors Limited</t>
  </si>
  <si>
    <t>Fenix House</t>
  </si>
  <si>
    <t>New Kirkgate</t>
  </si>
  <si>
    <t>Shipley</t>
  </si>
  <si>
    <t>BD18 3QY</t>
  </si>
  <si>
    <t>m.beedel@atkinsonfirth.co.uk</t>
  </si>
  <si>
    <t>Trent Law Limited</t>
  </si>
  <si>
    <t>16 The Triangle</t>
  </si>
  <si>
    <t>NG2 Business Park</t>
  </si>
  <si>
    <t>NG2 1AE</t>
  </si>
  <si>
    <t>lenderportals@trentlaw.co.uk</t>
  </si>
  <si>
    <t>Unit 9 Twelve O'clock Court, 21 Attercliffe Road</t>
  </si>
  <si>
    <t>S4 7WW</t>
  </si>
  <si>
    <t>22 Mallard Way</t>
  </si>
  <si>
    <t>DE24 8GX</t>
  </si>
  <si>
    <t>Churchers Solicitors LLP</t>
  </si>
  <si>
    <t>13-18 Kings Terrace</t>
  </si>
  <si>
    <t>PO5 3AL</t>
  </si>
  <si>
    <t>kking@churchers.co.uk</t>
  </si>
  <si>
    <t>PO16 7BL</t>
  </si>
  <si>
    <t>info@churchers.co.uk</t>
  </si>
  <si>
    <t>Wellesley House</t>
  </si>
  <si>
    <t>202 London Road</t>
  </si>
  <si>
    <t>PO7 7AN</t>
  </si>
  <si>
    <t>Lee-on-the-Solent</t>
  </si>
  <si>
    <t>PO13 9DG</t>
  </si>
  <si>
    <t>info@cbwsolicitors.co.uk</t>
  </si>
  <si>
    <t>Gosport</t>
  </si>
  <si>
    <t>PO12 1BX</t>
  </si>
  <si>
    <t>The Courtyard, Baring Chambers</t>
  </si>
  <si>
    <t>13 Denmark Road</t>
  </si>
  <si>
    <t>Cowes</t>
  </si>
  <si>
    <t>PO31 7SY</t>
  </si>
  <si>
    <t>18 Melville Street</t>
  </si>
  <si>
    <t>PO33 2AP</t>
  </si>
  <si>
    <t xml:space="preserve">info@churchers.co.uk </t>
  </si>
  <si>
    <t xml:space="preserve">Freshwater </t>
  </si>
  <si>
    <t>The Studio</t>
  </si>
  <si>
    <t>Tennyson Court, Avenue Road</t>
  </si>
  <si>
    <t>PO40 9UU</t>
  </si>
  <si>
    <t>Suite 1, 30 Quay Street</t>
  </si>
  <si>
    <t>PO30 5BA</t>
  </si>
  <si>
    <t>Park Gate</t>
  </si>
  <si>
    <t>44 Botley Road</t>
  </si>
  <si>
    <t>SO31 1BB</t>
  </si>
  <si>
    <t>Gullands LLP</t>
  </si>
  <si>
    <t>16 Mill Street</t>
  </si>
  <si>
    <t>ME15 6XT</t>
  </si>
  <si>
    <t>n.skinner@gullands.com</t>
  </si>
  <si>
    <t>Whitehall Place</t>
  </si>
  <si>
    <t xml:space="preserve">47 The Terrace </t>
  </si>
  <si>
    <t>DA12 2DL</t>
  </si>
  <si>
    <t>O'Haras Solicitors</t>
  </si>
  <si>
    <t>Unit 8, The Axium Centre, Dorchester Road</t>
  </si>
  <si>
    <t>Lytchett Minster</t>
  </si>
  <si>
    <t>BH16 6FE</t>
  </si>
  <si>
    <t>office@oharassolicitors.co.uk</t>
  </si>
  <si>
    <t>NGA Solicitors Limited</t>
  </si>
  <si>
    <t>32 Albert Road</t>
  </si>
  <si>
    <t>BB8 0AB</t>
  </si>
  <si>
    <t>a.smith@ngasolicitors.co.uk</t>
  </si>
  <si>
    <t>33 Parker Lane</t>
  </si>
  <si>
    <t>BB11 2BU</t>
  </si>
  <si>
    <t>a.allen@ngasolicitors.co.uk</t>
  </si>
  <si>
    <t>Omnialegal Limited</t>
  </si>
  <si>
    <t>7, Riverside Court</t>
  </si>
  <si>
    <t>BA2 3DZ</t>
  </si>
  <si>
    <t>nikki.smith@omnialegal.co.uk</t>
  </si>
  <si>
    <t>Smith &amp; Graham</t>
  </si>
  <si>
    <t>1st Floor, Tranquility House</t>
  </si>
  <si>
    <t>Harbour Walk</t>
  </si>
  <si>
    <t>TS24 0UX</t>
  </si>
  <si>
    <t>law@smithandgraham.co.uk</t>
  </si>
  <si>
    <t>100 Borough Road</t>
  </si>
  <si>
    <t>6 Upper Yoden Way</t>
  </si>
  <si>
    <t>SR8 1AX</t>
  </si>
  <si>
    <t>Thornes Legal Limited</t>
  </si>
  <si>
    <t>Lich Gates</t>
  </si>
  <si>
    <t>WV1 1UA</t>
  </si>
  <si>
    <t>tracydavis@thornessolicitors.co.uk</t>
  </si>
  <si>
    <t>Suite 4, Kildonan, Maypole Street</t>
  </si>
  <si>
    <t>WV5 9JB</t>
  </si>
  <si>
    <t>wombourne@thornessolicitors.co.uk</t>
  </si>
  <si>
    <t>WLR Legal Solutions Ltd</t>
  </si>
  <si>
    <t>First Floor, Finance Block</t>
  </si>
  <si>
    <t>Wharncliffe Road</t>
  </si>
  <si>
    <t>DE7 5GF</t>
  </si>
  <si>
    <t>sarah.southall@maclarenwarner.co.uk</t>
  </si>
  <si>
    <t>68 Nottingham Road</t>
  </si>
  <si>
    <t>NG16 3NQ</t>
  </si>
  <si>
    <t xml:space="preserve">The Hemington, Millhouse Business Centre, </t>
  </si>
  <si>
    <t>Castle Donington</t>
  </si>
  <si>
    <t>DE74 2NJ</t>
  </si>
  <si>
    <t>Barker Son &amp; Isherwood LLP</t>
  </si>
  <si>
    <t>SP10 1NT</t>
  </si>
  <si>
    <t>stravella@bsandi.co.uk</t>
  </si>
  <si>
    <t>MA Lawyers Ltd</t>
  </si>
  <si>
    <t xml:space="preserve">First House, 1 Sutton Street </t>
  </si>
  <si>
    <t>B1 1PE</t>
  </si>
  <si>
    <t>shilpa@malawyers.co.uk</t>
  </si>
  <si>
    <t>Blackhurst Budd Limited</t>
  </si>
  <si>
    <t>22 Edward Street</t>
  </si>
  <si>
    <t>FY1 1BA</t>
  </si>
  <si>
    <t>briony.haley@blackhurstbudd.co.uk</t>
  </si>
  <si>
    <t>Blanchards Bailey LLP</t>
  </si>
  <si>
    <t>Bunbury House</t>
  </si>
  <si>
    <t>Stour Park</t>
  </si>
  <si>
    <t>DT11 9LQ</t>
  </si>
  <si>
    <t>caroline.walton@blanchardsbailey.co.uk</t>
  </si>
  <si>
    <t>SP7 8JG</t>
  </si>
  <si>
    <t>shaftesbury@blanchardsbailey.co.uk</t>
  </si>
  <si>
    <t>Newborough House, 3 Queen Mother Square</t>
  </si>
  <si>
    <t>DT1 3BJ</t>
  </si>
  <si>
    <t>dorchester@blanchardsbailey.co.uk</t>
  </si>
  <si>
    <t>1 Oxford Court, Cambridge Road</t>
  </si>
  <si>
    <t>Granby Industrial Estate</t>
  </si>
  <si>
    <t>DT4 9GH</t>
  </si>
  <si>
    <t>weymouth@blanchardsbailey.co.uk</t>
  </si>
  <si>
    <t>Jaffe Porter Crossick LLP</t>
  </si>
  <si>
    <t>Omni House, 252 Belsize Road</t>
  </si>
  <si>
    <t>NW6 4BT</t>
  </si>
  <si>
    <t>Nbarry@jpclaw.co.uk</t>
  </si>
  <si>
    <t>34 Sumner Place</t>
  </si>
  <si>
    <t>SW7 3NT</t>
  </si>
  <si>
    <t>Askews Legal LLP</t>
  </si>
  <si>
    <t>5 The Quadrant</t>
  </si>
  <si>
    <t>ksandhu@askewslegal.co</t>
  </si>
  <si>
    <t>Forster Dean Limited</t>
  </si>
  <si>
    <t>Devonshire House</t>
  </si>
  <si>
    <t>Devonshire Square</t>
  </si>
  <si>
    <t>williambetts@forsterdean.com</t>
  </si>
  <si>
    <t>Northumberland House, 9 Hardshaw Street</t>
  </si>
  <si>
    <t>WA10 1QX</t>
  </si>
  <si>
    <t>Westminster House, 32-34 Widnes Road</t>
  </si>
  <si>
    <t>WA8 6AS</t>
  </si>
  <si>
    <t>AK Law (London) Limited</t>
  </si>
  <si>
    <t>14 Spring Bridge Mews</t>
  </si>
  <si>
    <t>LONDON</t>
  </si>
  <si>
    <t>W5 2AB</t>
  </si>
  <si>
    <t>tom@ak-law.co.uk</t>
  </si>
  <si>
    <t>St Helens Law Limited</t>
  </si>
  <si>
    <t>101 Mere Grange</t>
  </si>
  <si>
    <t>Leaside</t>
  </si>
  <si>
    <t>WA9 5GG</t>
  </si>
  <si>
    <t>debbie.murphy@sthelenslaw.co.uk</t>
  </si>
  <si>
    <t>Cullimore Dutton Solicitors Limited</t>
  </si>
  <si>
    <t>27 Newgate Street</t>
  </si>
  <si>
    <t>CH1 1DE</t>
  </si>
  <si>
    <t>jackie.sconce@cullimoredutton.co.uk</t>
  </si>
  <si>
    <t>Booths Court</t>
  </si>
  <si>
    <t>Chelford Road</t>
  </si>
  <si>
    <t>WA16 8GS</t>
  </si>
  <si>
    <t>info@cullimoredutton.co.uk</t>
  </si>
  <si>
    <t>Cowling Swift &amp; Kitchin Limited</t>
  </si>
  <si>
    <t>8 Blake Street</t>
  </si>
  <si>
    <t>YO1 8XJ</t>
  </si>
  <si>
    <t>mary.farrington@csksolicitors.co.uk</t>
  </si>
  <si>
    <t>Gittins McDonald Limited</t>
  </si>
  <si>
    <t>12 Grosvenor Road</t>
  </si>
  <si>
    <t>LL11 1BU</t>
  </si>
  <si>
    <t>ap@gittins-mcdonald.co.uk</t>
  </si>
  <si>
    <t>27-29 Grosvenor Road</t>
  </si>
  <si>
    <t>LL11 1BT</t>
  </si>
  <si>
    <t>AP@gittins-mcdonald.co.uk</t>
  </si>
  <si>
    <t>Renier Gillies Limited</t>
  </si>
  <si>
    <t>Thames House</t>
  </si>
  <si>
    <t>45a St Johns Road</t>
  </si>
  <si>
    <t>DA14 4HD</t>
  </si>
  <si>
    <t>info@rglaw.co.uk</t>
  </si>
  <si>
    <t>Third Floor Stamford House</t>
  </si>
  <si>
    <t>York@rglaw.co.uk</t>
  </si>
  <si>
    <t>Hatchers Solicitors LLP</t>
  </si>
  <si>
    <t>Welsh Bridge</t>
  </si>
  <si>
    <t>1 Frankwell</t>
  </si>
  <si>
    <t>SY3 8JY</t>
  </si>
  <si>
    <t>mail@hatchers.co.uk</t>
  </si>
  <si>
    <t>45 GREEN END</t>
  </si>
  <si>
    <t>WHITCHURCH</t>
  </si>
  <si>
    <t>SHROPSHIRE</t>
  </si>
  <si>
    <t>SY13 1AD</t>
  </si>
  <si>
    <t>j.roberts@hatchers.co.uk</t>
  </si>
  <si>
    <t>Stachiw Bashir Green Solicitors</t>
  </si>
  <si>
    <t>The Old Bank Building</t>
  </si>
  <si>
    <t>656 Great Horton Road</t>
  </si>
  <si>
    <t>BD7 4AA</t>
  </si>
  <si>
    <t>adrian@sbglaw.co.uk</t>
  </si>
  <si>
    <t>Adk Law Limited</t>
  </si>
  <si>
    <t>54 St Georges Road</t>
  </si>
  <si>
    <t>BL1 2DD</t>
  </si>
  <si>
    <t>ansar.hussain@adklaw.co.uk</t>
  </si>
  <si>
    <t>Rogers &amp; Norton Limited</t>
  </si>
  <si>
    <t>The Old Chapel, 5-7 Willow Lane</t>
  </si>
  <si>
    <t>NR2 1EU</t>
  </si>
  <si>
    <t>sjc@rogers-norton.co.uk</t>
  </si>
  <si>
    <t>Connaught Lodge, 10 Connaught Road</t>
  </si>
  <si>
    <t>NR17 2BN</t>
  </si>
  <si>
    <t>kerry.dilks@rogers-norton.co.uk</t>
  </si>
  <si>
    <t>21 Market Place</t>
  </si>
  <si>
    <t>NR19 2AX</t>
  </si>
  <si>
    <t>admin@rogers-norton.co.uk</t>
  </si>
  <si>
    <t>NPS Law LLP</t>
  </si>
  <si>
    <t>1 Cranmore Drive</t>
  </si>
  <si>
    <t>B90 4RZ</t>
  </si>
  <si>
    <t>yusuf.tariq@nps-law.co.uk</t>
  </si>
  <si>
    <t>One Canada Square</t>
  </si>
  <si>
    <t>8th Floor, Fora Office</t>
  </si>
  <si>
    <t>E14 5AB</t>
  </si>
  <si>
    <t>london@nps-law.co.uk</t>
  </si>
  <si>
    <t>BOHO 6, 5 Linthorpe Road</t>
  </si>
  <si>
    <t>TS1 1RE</t>
  </si>
  <si>
    <t>middlesbrough@nps-law.co.uk</t>
  </si>
  <si>
    <t>Star Legal Limited</t>
  </si>
  <si>
    <t>3 Richmond Hill</t>
  </si>
  <si>
    <t>BS8 1AT</t>
  </si>
  <si>
    <t>LR@star-legal.co.uk</t>
  </si>
  <si>
    <t>Units 1 &amp; 2, Baileys Court, Webbs Wood Road</t>
  </si>
  <si>
    <t>BS32 8EJ</t>
  </si>
  <si>
    <t>BS48 1AH</t>
  </si>
  <si>
    <t>4 Cricklade Court, Cricklade Street</t>
  </si>
  <si>
    <t>SN1 3EY</t>
  </si>
  <si>
    <t>Publishers House</t>
  </si>
  <si>
    <t>29 Bampton Street</t>
  </si>
  <si>
    <t>EX16 6AH</t>
  </si>
  <si>
    <t>11a Welsh Street</t>
  </si>
  <si>
    <t>Monmouthshire</t>
  </si>
  <si>
    <t>NP16 5LN</t>
  </si>
  <si>
    <t>33a Cross Street</t>
  </si>
  <si>
    <t>NP7 5ER</t>
  </si>
  <si>
    <t>The Reading House, 11 Alexandra Road</t>
  </si>
  <si>
    <t>BS21 7QH</t>
  </si>
  <si>
    <t>884 Fishponds Road</t>
  </si>
  <si>
    <t>BS16 3XB</t>
  </si>
  <si>
    <t>35 High Street</t>
  </si>
  <si>
    <t>SA61 2BW</t>
  </si>
  <si>
    <t>Evolution House, 53-59 Peach Street</t>
  </si>
  <si>
    <t>RG40 1XP</t>
  </si>
  <si>
    <t>Westbury on Trym</t>
  </si>
  <si>
    <t>BS9 3DZ</t>
  </si>
  <si>
    <t>55-56 Bradford Street</t>
  </si>
  <si>
    <t>41 Anchor Road</t>
  </si>
  <si>
    <t>Aldridge</t>
  </si>
  <si>
    <t>WS9 8PT</t>
  </si>
  <si>
    <t>1St/2Nd Flrs, 102/103 Church Street</t>
  </si>
  <si>
    <t>GL20 5AB</t>
  </si>
  <si>
    <t>Strand House, 70 The Strand</t>
  </si>
  <si>
    <t>B61 8DQ</t>
  </si>
  <si>
    <t>Grainger Appleyard Solicitors Limited</t>
  </si>
  <si>
    <t>26-27 Hall Gate</t>
  </si>
  <si>
    <t>DN1 3NL</t>
  </si>
  <si>
    <t>t.flanagan@graingerappleyard.com</t>
  </si>
  <si>
    <t>6 St Mary's Court</t>
  </si>
  <si>
    <t>DN11 9LX</t>
  </si>
  <si>
    <t>Sort Legal Limited</t>
  </si>
  <si>
    <t>Burdsall House,</t>
  </si>
  <si>
    <t>Derby Conference Centre, London Road</t>
  </si>
  <si>
    <t>DE24 8UX</t>
  </si>
  <si>
    <t>rhodri.howells@sortlegal.co.uk</t>
  </si>
  <si>
    <t>The Maltings, East Tyndall Street</t>
  </si>
  <si>
    <t xml:space="preserve">Cardiff </t>
  </si>
  <si>
    <t>CF24 5EA</t>
  </si>
  <si>
    <t>enquiries@sortlegal.co.uk</t>
  </si>
  <si>
    <t xml:space="preserve">South Shields </t>
  </si>
  <si>
    <t>10 Waverley</t>
  </si>
  <si>
    <t>NE33 1LE</t>
  </si>
  <si>
    <t>Tallents Solicitors</t>
  </si>
  <si>
    <t>3 Middle Gate</t>
  </si>
  <si>
    <t>NG24 1AQ</t>
  </si>
  <si>
    <t>helen.hopkins@tallents.co.uk</t>
  </si>
  <si>
    <t>2 Westgate</t>
  </si>
  <si>
    <t>Southwell</t>
  </si>
  <si>
    <t>NG25 0JJ</t>
  </si>
  <si>
    <t>alistair.millar@tallents.co.uk</t>
  </si>
  <si>
    <t>28A Westgate</t>
  </si>
  <si>
    <t>NG18 1RS</t>
  </si>
  <si>
    <t>vili.chung@tallents.co.uk</t>
  </si>
  <si>
    <t>Evolve Law (MK) Ltd</t>
  </si>
  <si>
    <t>45 Waterside Barns, Lodge Farm Business Centre</t>
  </si>
  <si>
    <t>Wolverton Road</t>
  </si>
  <si>
    <t>Castlethorpe</t>
  </si>
  <si>
    <t>MK19 7ES</t>
  </si>
  <si>
    <t>Contact@evolvelaw.co.uk</t>
  </si>
  <si>
    <t>Cf Law Limited</t>
  </si>
  <si>
    <t>20 Winnington Street</t>
  </si>
  <si>
    <t>CW8 1AF</t>
  </si>
  <si>
    <t>pdw@chambersfletcher.co.uk</t>
  </si>
  <si>
    <t>16 Walton Road</t>
  </si>
  <si>
    <t>WA4 6NL</t>
  </si>
  <si>
    <t>info@chambersfletcher.co.uk</t>
  </si>
  <si>
    <t xml:space="preserve">Lawyers Point Solicitors Ltd </t>
  </si>
  <si>
    <t>Suite 1-22A Margaret Powell House</t>
  </si>
  <si>
    <t>401-447 Midsummer Boulevard</t>
  </si>
  <si>
    <t>MK9 3BN</t>
  </si>
  <si>
    <t>info@lawyerspoint.co.uk</t>
  </si>
  <si>
    <t>H S Conveyancing Limited</t>
  </si>
  <si>
    <t>The Spire, Suite 10, Second Floor</t>
  </si>
  <si>
    <t>The Spire</t>
  </si>
  <si>
    <t>NE1 2DS</t>
  </si>
  <si>
    <t>linda.belshaw@hsconveyancing.com</t>
  </si>
  <si>
    <t xml:space="preserve">Dorling Cottrell Ltd </t>
  </si>
  <si>
    <t>Grant Hall Parsons Green</t>
  </si>
  <si>
    <t xml:space="preserve">St Ives </t>
  </si>
  <si>
    <t>PE27 4AA</t>
  </si>
  <si>
    <t>simon.law@dclaw.co.uk</t>
  </si>
  <si>
    <t>Southport Business Park</t>
  </si>
  <si>
    <t>Wight Moss Way</t>
  </si>
  <si>
    <t xml:space="preserve">Southport </t>
  </si>
  <si>
    <t>PR8 4HQ</t>
  </si>
  <si>
    <t>info@dclaw.co.uk</t>
  </si>
  <si>
    <t>Moongate House</t>
  </si>
  <si>
    <t>Fifth Avenue Business Park</t>
  </si>
  <si>
    <t>Team Valley</t>
  </si>
  <si>
    <t>NE11 0HF</t>
  </si>
  <si>
    <t>website@gordonbrownlaw.co.uk</t>
  </si>
  <si>
    <t>Wilkinson Woodward Limited</t>
  </si>
  <si>
    <t>22 Queen Street</t>
  </si>
  <si>
    <t>HD1 2SP</t>
  </si>
  <si>
    <t>ml@wilkinsonwoodward.co.uk</t>
  </si>
  <si>
    <t>11 Fountain Street</t>
  </si>
  <si>
    <t>HX1 1LU</t>
  </si>
  <si>
    <t>4 Commercial Street</t>
  </si>
  <si>
    <t>HD6 1AQ</t>
  </si>
  <si>
    <t>law@wilkinsonwoodward.co.uk</t>
  </si>
  <si>
    <t>Wildings Solicitors LLP</t>
  </si>
  <si>
    <t>862-864 Washwood Heath Road</t>
  </si>
  <si>
    <t>Noorkhan@Wildings-solicitors.co.uk</t>
  </si>
  <si>
    <t>Fonsecalaw Limited</t>
  </si>
  <si>
    <t>New County Buildings</t>
  </si>
  <si>
    <t>59 Bethcar Street</t>
  </si>
  <si>
    <t>NP23 6HW</t>
  </si>
  <si>
    <t>leightonmcadorey@fonsecalaw.co.uk</t>
  </si>
  <si>
    <t>Watsons Solicitors Warrington LLP</t>
  </si>
  <si>
    <t>13 Bold Street</t>
  </si>
  <si>
    <t>WA1 1DJ</t>
  </si>
  <si>
    <t>Chris.Illingworth@watsonssolicitors.com</t>
  </si>
  <si>
    <t>Bond Adams LLP</t>
  </si>
  <si>
    <t>Richmond House, 94 London Road</t>
  </si>
  <si>
    <t>LE2 0QS</t>
  </si>
  <si>
    <t>rafique@bondadams.com</t>
  </si>
  <si>
    <t>220 Uppingham Road</t>
  </si>
  <si>
    <t>North Evington</t>
  </si>
  <si>
    <t>LE5 0QG</t>
  </si>
  <si>
    <t>lawyers@bondadams.com</t>
  </si>
  <si>
    <t xml:space="preserve">Tinklin Springall </t>
  </si>
  <si>
    <t>12-14 Elmfield Road</t>
  </si>
  <si>
    <t xml:space="preserve">Bromley </t>
  </si>
  <si>
    <t>BR1 1TF</t>
  </si>
  <si>
    <t>mail@tinklinspringall.co.uk</t>
  </si>
  <si>
    <t>9-11 Rectory Road</t>
  </si>
  <si>
    <t>BR3 1JB</t>
  </si>
  <si>
    <t>Latimer Legal Solicitors Limited</t>
  </si>
  <si>
    <t>Sankey Street</t>
  </si>
  <si>
    <t>BL9 0JE</t>
  </si>
  <si>
    <t>notary@latimerlee.com</t>
  </si>
  <si>
    <t>35 Bury New Road</t>
  </si>
  <si>
    <t>M25 9JY</t>
  </si>
  <si>
    <t xml:space="preserve">13-15 Square Street, </t>
  </si>
  <si>
    <t>BL0 9BL</t>
  </si>
  <si>
    <t>Clarke &amp; Son Solicitors Limited</t>
  </si>
  <si>
    <t>Manor House, 8 Winchester Road</t>
  </si>
  <si>
    <t>RG21 8UG</t>
  </si>
  <si>
    <t>rham@clarkeandson.co.uk</t>
  </si>
  <si>
    <t>G H W Solicitors LLP</t>
  </si>
  <si>
    <t>19 Bolton Street</t>
  </si>
  <si>
    <t>BL0 9HU</t>
  </si>
  <si>
    <t>gareth.williams@ghwsolicitors.co.uk</t>
  </si>
  <si>
    <t>Bate &amp; Albon Limited</t>
  </si>
  <si>
    <t>9 Ardsheal Road</t>
  </si>
  <si>
    <t>BN14 7RN</t>
  </si>
  <si>
    <t>paula.williams@batealbonsolicitors.co.uk</t>
  </si>
  <si>
    <t>23/24 Marlborough Place</t>
  </si>
  <si>
    <t>BN1 1UB</t>
  </si>
  <si>
    <t>6 Gildredge Road</t>
  </si>
  <si>
    <t>BN21 4RL</t>
  </si>
  <si>
    <t>1 Chapel Street</t>
  </si>
  <si>
    <t>PO19 1BU</t>
  </si>
  <si>
    <t>genni.cooper@batealbonsolicitors.co.uk</t>
  </si>
  <si>
    <t>Station House</t>
  </si>
  <si>
    <t>Cooksbridge Station</t>
  </si>
  <si>
    <t>Cooksbridge</t>
  </si>
  <si>
    <t xml:space="preserve">Lewes </t>
  </si>
  <si>
    <t>BN8 4SW</t>
  </si>
  <si>
    <t>Clive.Smith@batealbonsolicitors.co.uk</t>
  </si>
  <si>
    <t>Green &amp; Olive Legal Limited</t>
  </si>
  <si>
    <t>4 Whittall Street</t>
  </si>
  <si>
    <t>B4 6DH</t>
  </si>
  <si>
    <t>arif@greenandolive.co.uk</t>
  </si>
  <si>
    <t>Right Choice Conveyancing Ltd</t>
  </si>
  <si>
    <t>Noble House, Capital Drive</t>
  </si>
  <si>
    <t>Linford Wood</t>
  </si>
  <si>
    <t>MK14 6QP</t>
  </si>
  <si>
    <t>mk@rightcc.co.uk</t>
  </si>
  <si>
    <t>Rks Solicitors (Dewsbury) Ltd</t>
  </si>
  <si>
    <t>Rks House, 54 Bradford Road</t>
  </si>
  <si>
    <t>WF13 2DU</t>
  </si>
  <si>
    <t>info@rkssolicitors.com</t>
  </si>
  <si>
    <t>Dickinson Wood</t>
  </si>
  <si>
    <t>28 South Parade</t>
  </si>
  <si>
    <t>DN1 2DJ</t>
  </si>
  <si>
    <t>ts@dickinsonwood.co.uk</t>
  </si>
  <si>
    <t>Thackray Williams LLP</t>
  </si>
  <si>
    <t>T Bromley, 15-17 London Road</t>
  </si>
  <si>
    <t>BR1 1DE</t>
  </si>
  <si>
    <t>riskandcompliance@thackraywilliams.com</t>
  </si>
  <si>
    <t>West Wickham</t>
  </si>
  <si>
    <t>BR4 0QG</t>
  </si>
  <si>
    <t>15 Pembroke Road</t>
  </si>
  <si>
    <t>Landsmiths Legal Limited</t>
  </si>
  <si>
    <t>Stoney House</t>
  </si>
  <si>
    <t>26-30 Stoney Street</t>
  </si>
  <si>
    <t>NG1 1LL</t>
  </si>
  <si>
    <t>info@landsmiths.co.uk</t>
  </si>
  <si>
    <t>Hegarty LLP</t>
  </si>
  <si>
    <t>48 Broadway</t>
  </si>
  <si>
    <t>PETERBOROUGH</t>
  </si>
  <si>
    <t>PE1 1YW</t>
  </si>
  <si>
    <t>simon.pierson@hegarty.co.uk</t>
  </si>
  <si>
    <t xml:space="preserve">10 Ironmonger Street </t>
  </si>
  <si>
    <t xml:space="preserve">Lincolnshire </t>
  </si>
  <si>
    <t>PE9 1PL</t>
  </si>
  <si>
    <t>66 South Street</t>
  </si>
  <si>
    <t>LE15 6BQ</t>
  </si>
  <si>
    <t>Market Deeping</t>
  </si>
  <si>
    <t>27A Market Place</t>
  </si>
  <si>
    <t>PE6 8EA</t>
  </si>
  <si>
    <t>enquiries@hegarty.co.uk</t>
  </si>
  <si>
    <t>Kernon Kelleher Solicitors Limited</t>
  </si>
  <si>
    <t>7 Barnack Walk</t>
  </si>
  <si>
    <t>DT11 7AL</t>
  </si>
  <si>
    <t>saul.kelleher@kernonkelleher.co.uk</t>
  </si>
  <si>
    <t>3 Greyhound Square</t>
  </si>
  <si>
    <t>DT11 7EB</t>
  </si>
  <si>
    <t>neil.kernon@kernonkelleher.co.uk</t>
  </si>
  <si>
    <t>125 South Western Road</t>
  </si>
  <si>
    <t>SP2 7RR</t>
  </si>
  <si>
    <t>info@kernonkelleher.co.uk</t>
  </si>
  <si>
    <t>Platt &amp; Fishwick Limited</t>
  </si>
  <si>
    <t>47 King Street</t>
  </si>
  <si>
    <t>WN1 1DB</t>
  </si>
  <si>
    <t>Ldavies@plattandfishwick.co.uk</t>
  </si>
  <si>
    <t>11 Preston Road</t>
  </si>
  <si>
    <t>Standish</t>
  </si>
  <si>
    <t>WN6 0HR</t>
  </si>
  <si>
    <t>Standish@plattandfishwick.co.uk</t>
  </si>
  <si>
    <t>Leeper Prosser Solicitors Limited</t>
  </si>
  <si>
    <t>Stonehouse</t>
  </si>
  <si>
    <t>GL10 2NA</t>
  </si>
  <si>
    <t>lbratcher@leeperprosser.co.uk</t>
  </si>
  <si>
    <t>Andrew Jackson Solicitors LLP</t>
  </si>
  <si>
    <t xml:space="preserve">Marina Court </t>
  </si>
  <si>
    <t>stephen.dettman@andrewjackson.co.uk</t>
  </si>
  <si>
    <t>Foss Islands House, Foss Islands Road</t>
  </si>
  <si>
    <t>YO31 7UJ</t>
  </si>
  <si>
    <t>Northgate Point, Kirk Gate</t>
  </si>
  <si>
    <t>Silpho</t>
  </si>
  <si>
    <t>YO13 0JH</t>
  </si>
  <si>
    <t>ASR Advantage Law Limited</t>
  </si>
  <si>
    <t>Catherine House, 10 Coventry Road</t>
  </si>
  <si>
    <t>LE10 0JT</t>
  </si>
  <si>
    <t>info@asrsolicitors.co.uk</t>
  </si>
  <si>
    <t>Queens Chambers, 2 Queen Street</t>
  </si>
  <si>
    <t>ST5 1EE</t>
  </si>
  <si>
    <t>info@advantagelaw.co.uk</t>
  </si>
  <si>
    <t>70 Villa Road</t>
  </si>
  <si>
    <t>B19 1BL</t>
  </si>
  <si>
    <t>NICHOLLS HOUSE, HOMER CLOSE, TACHBROOK PARK</t>
  </si>
  <si>
    <t>WARWICK</t>
  </si>
  <si>
    <t>CV34 6TT</t>
  </si>
  <si>
    <t>leamington@asrsolicitors.co.uk</t>
  </si>
  <si>
    <t>Marchesi House, 4 Embassy Drive</t>
  </si>
  <si>
    <t>B15 1TP</t>
  </si>
  <si>
    <t xml:space="preserve">Bedfordshire Property Lawyers Limited </t>
  </si>
  <si>
    <t>4 Stephenson Court</t>
  </si>
  <si>
    <t>Fraser Road, Priory Business Park</t>
  </si>
  <si>
    <t>MK44 3WJ</t>
  </si>
  <si>
    <t>enquiries@richardsonspl.co.uk</t>
  </si>
  <si>
    <t>Burd Ward Solicitors Limited</t>
  </si>
  <si>
    <t>23 - 27 Seaview Road</t>
  </si>
  <si>
    <t>CH45 4QT</t>
  </si>
  <si>
    <t>ja@burdward.co.uk</t>
  </si>
  <si>
    <t>Mir Legal Ltd</t>
  </si>
  <si>
    <t>782 Manchester Road</t>
  </si>
  <si>
    <t>BD5 7QP</t>
  </si>
  <si>
    <t>idris.mir@mirsolicitors.co.uk</t>
  </si>
  <si>
    <t>Wilfrids Law Limited</t>
  </si>
  <si>
    <t>Legend House</t>
  </si>
  <si>
    <t>171-173 Sunbridge Road</t>
  </si>
  <si>
    <t>BD1 2HB</t>
  </si>
  <si>
    <t>enquiries@wilfridslaw.co.uk</t>
  </si>
  <si>
    <t>Kenny Solicitors Ltd</t>
  </si>
  <si>
    <t>The Old Rectory, Old Rectory Drive</t>
  </si>
  <si>
    <t>Eastergate</t>
  </si>
  <si>
    <t>PO20 3XH</t>
  </si>
  <si>
    <t>ellie@kennysolicitors.co.uk</t>
  </si>
  <si>
    <t>11 The Causeway</t>
  </si>
  <si>
    <t>BN18 9JJ</t>
  </si>
  <si>
    <t>195 The Crossway</t>
  </si>
  <si>
    <t>PO16 8NG</t>
  </si>
  <si>
    <t>17 Clovelly Road</t>
  </si>
  <si>
    <t>PO10 7HL</t>
  </si>
  <si>
    <t>Old Market House</t>
  </si>
  <si>
    <t>Market Avenue</t>
  </si>
  <si>
    <t>PO19 1JR</t>
  </si>
  <si>
    <t>Attwaters Solicitors LLP</t>
  </si>
  <si>
    <t>72-74 Fore Street</t>
  </si>
  <si>
    <t>SG14 1BY</t>
  </si>
  <si>
    <t>peter.westbrook@attwaters.co.uk</t>
  </si>
  <si>
    <t>5 East Street</t>
  </si>
  <si>
    <t>SG12 9HJ</t>
  </si>
  <si>
    <t xml:space="preserve">enquiries@attwaters.co.uk </t>
  </si>
  <si>
    <t>145 High Road</t>
  </si>
  <si>
    <t>IG10 4LY</t>
  </si>
  <si>
    <t>St Clements House, 27 Clement's Lane</t>
  </si>
  <si>
    <t>EC4N 7AE</t>
  </si>
  <si>
    <t>enquiries@attwaters.co.uk</t>
  </si>
  <si>
    <t>J Stifford Solicitors Ltd</t>
  </si>
  <si>
    <t>Canary Gateway, Unit 2, Ground Floor</t>
  </si>
  <si>
    <t>787 Commercial Road</t>
  </si>
  <si>
    <t>E14 7HG</t>
  </si>
  <si>
    <t>j.ali@jslsolicitors.co.uk</t>
  </si>
  <si>
    <t>Blackett Hart &amp; Pratt LLP</t>
  </si>
  <si>
    <t>WESTGATE HOUSE</t>
  </si>
  <si>
    <t>FAVERDALE</t>
  </si>
  <si>
    <t>DARLINGTON</t>
  </si>
  <si>
    <t>COUNTY DURHAM</t>
  </si>
  <si>
    <t>DL3 0PZ</t>
  </si>
  <si>
    <t>jeanjordan@bhplaw.co.uk</t>
  </si>
  <si>
    <t>11th Floor, Cubo Newcastle, Bank House, Pilgrim Street</t>
  </si>
  <si>
    <t>NE1 6SQ</t>
  </si>
  <si>
    <t>residentialproperty@bhplaw.co.uk</t>
  </si>
  <si>
    <t>Aire House, Mandale Business Park</t>
  </si>
  <si>
    <t>Belmont</t>
  </si>
  <si>
    <t>DURHAM</t>
  </si>
  <si>
    <t>DH1 1TH</t>
  </si>
  <si>
    <t>39 Percy Park Road</t>
  </si>
  <si>
    <t>Tynemouth</t>
  </si>
  <si>
    <t>NE30 4LR</t>
  </si>
  <si>
    <t>Taunton Solicitors</t>
  </si>
  <si>
    <t>2 Tangier Central</t>
  </si>
  <si>
    <t>TA1 4AP</t>
  </si>
  <si>
    <t>sarah.hogman@tauntonsolicitors.com</t>
  </si>
  <si>
    <t>Penmans Solicitors LLP</t>
  </si>
  <si>
    <t>17a Queens road</t>
  </si>
  <si>
    <t>CV1 3DH</t>
  </si>
  <si>
    <t>naomi.ohalloran@penmanssolicitors.co.uk</t>
  </si>
  <si>
    <t>30/32 Warwick Road</t>
  </si>
  <si>
    <t>CV8 1GW</t>
  </si>
  <si>
    <t>The Precinct, School Road</t>
  </si>
  <si>
    <t>Wellesbourne, Warwick</t>
  </si>
  <si>
    <t>CV35 9NL</t>
  </si>
  <si>
    <t>J A Hughes</t>
  </si>
  <si>
    <t>7 Bradenham Place</t>
  </si>
  <si>
    <t>CF64 2AG</t>
  </si>
  <si>
    <t>jeremydavies@jahughes.com</t>
  </si>
  <si>
    <t>BARRY</t>
  </si>
  <si>
    <t>CENTENARY HOUSE, KING SQUARE</t>
  </si>
  <si>
    <t>VALE OF GLAMORGAN</t>
  </si>
  <si>
    <t>CF62 8HB</t>
  </si>
  <si>
    <t>CARDIFF</t>
  </si>
  <si>
    <t>89 BEULAH ROAD</t>
  </si>
  <si>
    <t>RHIWBINA</t>
  </si>
  <si>
    <t>CF14 6LW</t>
  </si>
  <si>
    <t>Posada &amp; Co Solicitors Limited</t>
  </si>
  <si>
    <t>Griffin Gate</t>
  </si>
  <si>
    <t>135 Lower Richmond Road</t>
  </si>
  <si>
    <t>Putney</t>
  </si>
  <si>
    <t>SW15 1EZ</t>
  </si>
  <si>
    <t>DP@posadalaw.co.uk</t>
  </si>
  <si>
    <t>The Officers Mess, Coldstream Road</t>
  </si>
  <si>
    <t>CR3 5QX</t>
  </si>
  <si>
    <t>caterham@posadalaw.co.uk</t>
  </si>
  <si>
    <t>2 Bennet Court, 1 Bellevue Road</t>
  </si>
  <si>
    <t>Wandsworth Common</t>
  </si>
  <si>
    <t>SW17 7EG</t>
  </si>
  <si>
    <t>dp@posadalaw.co.uk</t>
  </si>
  <si>
    <t>Glanvilles Damant Limited</t>
  </si>
  <si>
    <t>The Courtyard</t>
  </si>
  <si>
    <t>St Cross Business Park</t>
  </si>
  <si>
    <t>PO30 5BF</t>
  </si>
  <si>
    <t>accounts@gdlegalservices.co.uk</t>
  </si>
  <si>
    <t>Blaser Mills LLP</t>
  </si>
  <si>
    <t>Suite 4B, St Johns Court,</t>
  </si>
  <si>
    <t>Easton Street</t>
  </si>
  <si>
    <t>HP11 1JX</t>
  </si>
  <si>
    <t>enquiries@blasermills.co.uk</t>
  </si>
  <si>
    <t>2 Lacemaker Court</t>
  </si>
  <si>
    <t>HP7 0HS</t>
  </si>
  <si>
    <t>Liston Exchange</t>
  </si>
  <si>
    <t>Cromwell Gardens</t>
  </si>
  <si>
    <t>SL7 1BG</t>
  </si>
  <si>
    <t>4 Chiltern Road</t>
  </si>
  <si>
    <t>SL7 2PP</t>
  </si>
  <si>
    <t>Elite Law Solicitors Limited</t>
  </si>
  <si>
    <t>Chalfont Court, 5 Hill Avenue</t>
  </si>
  <si>
    <t>HP6 5BD</t>
  </si>
  <si>
    <t>lenders@elitelawsolicitors.co.uk</t>
  </si>
  <si>
    <t>Queensberry House</t>
  </si>
  <si>
    <t>106 Queens Road</t>
  </si>
  <si>
    <t>BN1 3XF</t>
  </si>
  <si>
    <t>Kent Space Fleet House Springhead Enterprise Park</t>
  </si>
  <si>
    <t>Springhead Road, Northfleet</t>
  </si>
  <si>
    <t>ecooke@elitelawsolicitors.co.uk</t>
  </si>
  <si>
    <t>info@elitelawsolicitors.co.uk</t>
  </si>
  <si>
    <t>Suite 2, Unit 1, The Cam Centre</t>
  </si>
  <si>
    <t>Wilbury Way</t>
  </si>
  <si>
    <t>SG4 0TW</t>
  </si>
  <si>
    <t>7 Leck House</t>
  </si>
  <si>
    <t>Lake Street</t>
  </si>
  <si>
    <t>LU7 1TQ</t>
  </si>
  <si>
    <t>St James House</t>
  </si>
  <si>
    <t>9-15 St James Road</t>
  </si>
  <si>
    <t>KT6 4QH</t>
  </si>
  <si>
    <t>499A Bath Road</t>
  </si>
  <si>
    <t>Saltford</t>
  </si>
  <si>
    <t>BS31 3HQ</t>
  </si>
  <si>
    <t>Suite 13 &amp; 14 Talbot House</t>
  </si>
  <si>
    <t>34 Staple Gardens</t>
  </si>
  <si>
    <t>SO23 8SR</t>
  </si>
  <si>
    <t>Lower Ground Floor, Midway House</t>
  </si>
  <si>
    <t>27-29 Cursitor Street</t>
  </si>
  <si>
    <t>EC4A 1LT</t>
  </si>
  <si>
    <t>Suite 38, Linford Forum, Rockingham Drive</t>
  </si>
  <si>
    <t>MK14 6LY</t>
  </si>
  <si>
    <t xml:space="preserve">lenders@elitelawsolicitors.co.uk </t>
  </si>
  <si>
    <t>Hawking Suite, 2nd Floor, 1 Bell Court, Leapale Lane</t>
  </si>
  <si>
    <t>GU1 4LY</t>
  </si>
  <si>
    <t xml:space="preserve">lender@elitelawsolicitors.co.uk </t>
  </si>
  <si>
    <t>Lanyon Bowdler LLP</t>
  </si>
  <si>
    <t>Chapter House North, Abbey Lawn</t>
  </si>
  <si>
    <t>Abbey Foregate</t>
  </si>
  <si>
    <t>SY2 5DE</t>
  </si>
  <si>
    <t>emma.jones@lblaw.co.uk</t>
  </si>
  <si>
    <t>39-41 Church Street</t>
  </si>
  <si>
    <t>SY11 2SZ</t>
  </si>
  <si>
    <t>Grosvenor House, Hollinswood Road</t>
  </si>
  <si>
    <t>TF2 9TW</t>
  </si>
  <si>
    <t>Unit 12 The Business Quarter</t>
  </si>
  <si>
    <t>Eco Park Road</t>
  </si>
  <si>
    <t>SY8 1FD</t>
  </si>
  <si>
    <t>Bath Street offices, Bath Street</t>
  </si>
  <si>
    <t>HR1 2GY</t>
  </si>
  <si>
    <t>Bromyard</t>
  </si>
  <si>
    <t>HR7 4AE</t>
  </si>
  <si>
    <t xml:space="preserve">1 &amp; 2 Connaught House, Riverside Business Park </t>
  </si>
  <si>
    <t>Benarth Road</t>
  </si>
  <si>
    <t>LL32 8UB</t>
  </si>
  <si>
    <t>DMH Stallard LLP</t>
  </si>
  <si>
    <t>3rd Floor, Origin One, 108 High Street</t>
  </si>
  <si>
    <t>RH10 1BD</t>
  </si>
  <si>
    <t>belinda.wild@dmhstallard.com</t>
  </si>
  <si>
    <t>1st Floor, Wonersh House, The Guildway</t>
  </si>
  <si>
    <t>Old Portsmouth Road</t>
  </si>
  <si>
    <t>GU3 1LR</t>
  </si>
  <si>
    <t>enquiries@dmhstallard.com</t>
  </si>
  <si>
    <t>5th Floor, Fetter Yard, Barnards Inn</t>
  </si>
  <si>
    <t>86 Fetter Lane</t>
  </si>
  <si>
    <t>EC4A 1EN</t>
  </si>
  <si>
    <t>The Portland Building, 27 - 28 Church Street</t>
  </si>
  <si>
    <t>BN1 1RB</t>
  </si>
  <si>
    <t>3rd Floor, Afon Building, Worthing Road</t>
  </si>
  <si>
    <t>RH12 1TL</t>
  </si>
  <si>
    <t>32 Keymer Road</t>
  </si>
  <si>
    <t>BN6 8AL</t>
  </si>
  <si>
    <t>Battrick Clark Solicitors Ltd</t>
  </si>
  <si>
    <t>151 Whiteladies Road</t>
  </si>
  <si>
    <t>BS8 2RA</t>
  </si>
  <si>
    <t>ruth@battrickclark.co.uk</t>
  </si>
  <si>
    <t>Peter Dunn &amp; Co Limited</t>
  </si>
  <si>
    <t>20 Athenaeum Street</t>
  </si>
  <si>
    <t>SR1 1DH</t>
  </si>
  <si>
    <t>chloe.conwayhind@peterdunn.co.uk</t>
  </si>
  <si>
    <t>16a North Terrace</t>
  </si>
  <si>
    <t>SR7 7EU</t>
  </si>
  <si>
    <t>Hawley &amp; Rodgers</t>
  </si>
  <si>
    <t>19-23 Granby Street</t>
  </si>
  <si>
    <t>LE11 3DY</t>
  </si>
  <si>
    <t>nbyrne@hawleyandrodgers.com</t>
  </si>
  <si>
    <t>Albion House, 5-13 Canal Street</t>
  </si>
  <si>
    <t>NG1 7EH</t>
  </si>
  <si>
    <t>Bingham</t>
  </si>
  <si>
    <t>1 Fisher Lane</t>
  </si>
  <si>
    <t>NG13 8BQ</t>
  </si>
  <si>
    <t xml:space="preserve">42-44 Market Place </t>
  </si>
  <si>
    <t>NG10 1LT</t>
  </si>
  <si>
    <t>Gough Thorne LLP</t>
  </si>
  <si>
    <t>Suite D, 224 Regency Court, Upper Fifth Street</t>
  </si>
  <si>
    <t>MK9 2HR</t>
  </si>
  <si>
    <t>vishal.sharma@goughthorne.com</t>
  </si>
  <si>
    <t>SUITE D, 226 REGENCY COURT,</t>
  </si>
  <si>
    <t>UPPER FIFTH STREET</t>
  </si>
  <si>
    <t>MILTON KEYNES</t>
  </si>
  <si>
    <t>BUCKINGHAMSHIRE</t>
  </si>
  <si>
    <t>info@goughthorne.com</t>
  </si>
  <si>
    <t>SUITE F, 226 REGENCY COURT,</t>
  </si>
  <si>
    <t>Judge Law Solicitors Ltd</t>
  </si>
  <si>
    <t>Third Floor, 86 - 90 Paul Street</t>
  </si>
  <si>
    <t>EC2A 4NE</t>
  </si>
  <si>
    <t>Sim@judgelaw.co.uk</t>
  </si>
  <si>
    <t>Alexandra Court, 25 St Leonards Road</t>
  </si>
  <si>
    <t>SL4 3BP</t>
  </si>
  <si>
    <t>info@judgelaw.co.uk</t>
  </si>
  <si>
    <t>Awdry Law LLP</t>
  </si>
  <si>
    <t>33 St John's Street</t>
  </si>
  <si>
    <t>SN10 1BW</t>
  </si>
  <si>
    <t>debbie.carr-jones@awdry.law</t>
  </si>
  <si>
    <t>Royal Wootton Bassett</t>
  </si>
  <si>
    <t>Stafford House, 57 High Street</t>
  </si>
  <si>
    <t>SN4 7AQ</t>
  </si>
  <si>
    <t>7 Woodstock Court, Blenheim Road</t>
  </si>
  <si>
    <t>SN8 4AN</t>
  </si>
  <si>
    <t>38 Market Place</t>
  </si>
  <si>
    <t>SN15 3HT</t>
  </si>
  <si>
    <t>2 Gateway North, Latham Road</t>
  </si>
  <si>
    <t>SN25 4DL</t>
  </si>
  <si>
    <t>3 Northumberland Buildings</t>
  </si>
  <si>
    <t>Wood Street</t>
  </si>
  <si>
    <t>BA1 2JB</t>
  </si>
  <si>
    <t>Red Kite Law LLP</t>
  </si>
  <si>
    <t>14-15 Spilman Street</t>
  </si>
  <si>
    <t>SA31 1SR</t>
  </si>
  <si>
    <t>lenderportals@redkitelaw.co.uk</t>
  </si>
  <si>
    <t>18-20 Old Bridge</t>
  </si>
  <si>
    <t>SA61 2ET</t>
  </si>
  <si>
    <t>2 Rowcroft</t>
  </si>
  <si>
    <t>GL5 3BB</t>
  </si>
  <si>
    <t>Hollis House, May Lane</t>
  </si>
  <si>
    <t>GL11 4JW</t>
  </si>
  <si>
    <t>GL10 2NB</t>
  </si>
  <si>
    <t>17 Churchill Way</t>
  </si>
  <si>
    <t>CF10 2HH</t>
  </si>
  <si>
    <t>Brecon</t>
  </si>
  <si>
    <t>St Davids House, 48 Free Street</t>
  </si>
  <si>
    <t>LD3 7BN</t>
  </si>
  <si>
    <t>23-25 Pontardulais Road</t>
  </si>
  <si>
    <t>Natwest Bank Chamber, 12 The Homend</t>
  </si>
  <si>
    <t>HR8 1AB</t>
  </si>
  <si>
    <t>Old Castle Offices, South Street</t>
  </si>
  <si>
    <t>CF31 3ED</t>
  </si>
  <si>
    <t>Porthcawl</t>
  </si>
  <si>
    <t>4 Lias Road</t>
  </si>
  <si>
    <t>CF36 3AH</t>
  </si>
  <si>
    <t>22 Thomas Street</t>
  </si>
  <si>
    <t>GL7 2BD</t>
  </si>
  <si>
    <t xml:space="preserve">enquiries@redkitelaw.co.uk </t>
  </si>
  <si>
    <t>4 Pullman Court</t>
  </si>
  <si>
    <t>GL1 3ND</t>
  </si>
  <si>
    <t>23 Gower Road</t>
  </si>
  <si>
    <t>Sketty</t>
  </si>
  <si>
    <t>SA2 9BX</t>
  </si>
  <si>
    <t>enquiries@redkitelaw.co.uk</t>
  </si>
  <si>
    <t>Pembroke</t>
  </si>
  <si>
    <t>58 Main Street</t>
  </si>
  <si>
    <t>SA71 4NP</t>
  </si>
  <si>
    <t xml:space="preserve">enuiries@redkitelaw.co.uk </t>
  </si>
  <si>
    <t>5 Bradenham Place</t>
  </si>
  <si>
    <t>3rd Floor, 18-20 Princess Way</t>
  </si>
  <si>
    <t>SA1 3LW</t>
  </si>
  <si>
    <t xml:space="preserve">TLT LLP </t>
  </si>
  <si>
    <t>1 Redcliff Street</t>
  </si>
  <si>
    <t>BS1 6TP</t>
  </si>
  <si>
    <t>alison.blades@TLT.com</t>
  </si>
  <si>
    <t>20 Gresham Street</t>
  </si>
  <si>
    <t>EC2V 7JE</t>
  </si>
  <si>
    <t>alison.blades@tlt.com</t>
  </si>
  <si>
    <t>Eden Building, Irwell Street</t>
  </si>
  <si>
    <t>M3 5EN</t>
  </si>
  <si>
    <t>Glasgow</t>
  </si>
  <si>
    <t>41 West Campbell Street</t>
  </si>
  <si>
    <t>Lanarkshire</t>
  </si>
  <si>
    <t>G2 6SE</t>
  </si>
  <si>
    <t>6th Floor, One Centenary Way</t>
  </si>
  <si>
    <t>B3 3AY</t>
  </si>
  <si>
    <t>generalenquiries@TLT.com</t>
  </si>
  <si>
    <t xml:space="preserve">AConveyancing Limited </t>
  </si>
  <si>
    <t>Units 10 &amp; 11 Pebble Close</t>
  </si>
  <si>
    <t>Amington</t>
  </si>
  <si>
    <t>B77 4RD</t>
  </si>
  <si>
    <t>nmoore@aconveyancing.com</t>
  </si>
  <si>
    <t>KPHP Limited</t>
  </si>
  <si>
    <t>The Old Town Hall, Lapwing Lane</t>
  </si>
  <si>
    <t>M20 2NR</t>
  </si>
  <si>
    <t>colin.bethell@pablasolicitors.co.uk</t>
  </si>
  <si>
    <t>Kiteleys Solicitors Limited</t>
  </si>
  <si>
    <t>333 Lymington Road</t>
  </si>
  <si>
    <t>BH23 5EG</t>
  </si>
  <si>
    <t>david.bridge@kiteleys.co.uk</t>
  </si>
  <si>
    <t xml:space="preserve">Unit 7, Concept Park </t>
  </si>
  <si>
    <t>Innovation Close</t>
  </si>
  <si>
    <t>BH12 4QT</t>
  </si>
  <si>
    <t xml:space="preserve">david.bridge@kitleys.co.uk </t>
  </si>
  <si>
    <t>40 Haven Road</t>
  </si>
  <si>
    <t>office@kiteleys.co.uk</t>
  </si>
  <si>
    <t>41-43 High Street</t>
  </si>
  <si>
    <t>Fordingbridge</t>
  </si>
  <si>
    <t>SP6 1AU</t>
  </si>
  <si>
    <t>Andrew.townsend@kiteleys.co.uk</t>
  </si>
  <si>
    <t>Toomey Legal Limited</t>
  </si>
  <si>
    <t>Surveyors House</t>
  </si>
  <si>
    <t>Cramlington</t>
  </si>
  <si>
    <t>NE23 1DN</t>
  </si>
  <si>
    <t>sue@toomeylegal.co.uk</t>
  </si>
  <si>
    <t>Healys LLP</t>
  </si>
  <si>
    <t>Atrium Court 15-17 Jockey's Fields</t>
  </si>
  <si>
    <t>WC1R 4BW</t>
  </si>
  <si>
    <t>claire.fisher@healys.com</t>
  </si>
  <si>
    <t>8 &amp; 9 Old Steine</t>
  </si>
  <si>
    <t>BN1 1EJ</t>
  </si>
  <si>
    <t>kiri.kkoshi@healys.com</t>
  </si>
  <si>
    <t>PSR Solicitors Ltd</t>
  </si>
  <si>
    <t>St. David's Villa, 8 Lord Street</t>
  </si>
  <si>
    <t>LL11 1LG</t>
  </si>
  <si>
    <t>karl.lewis@psrsolicitors.co.uk</t>
  </si>
  <si>
    <t>Shotton Villa, 36 Chester Road West</t>
  </si>
  <si>
    <t>CH5 1BY</t>
  </si>
  <si>
    <t>paul.rossiter@psrsolicitors.co.uk</t>
  </si>
  <si>
    <t>Whitby Villa, 84 Whitby Road</t>
  </si>
  <si>
    <t>CH65 0AA</t>
  </si>
  <si>
    <t>toni.jones@psrsolicitors.co.uk</t>
  </si>
  <si>
    <t>Wellington House, 22 Wellington Road</t>
  </si>
  <si>
    <t>LL18 1BG</t>
  </si>
  <si>
    <t>fiona.mclardie@psrsolicitors.co.uk</t>
  </si>
  <si>
    <t>Penrhyn View, 3 Penrhyn Road</t>
  </si>
  <si>
    <t>Conwy,</t>
  </si>
  <si>
    <t>LL29 8LG</t>
  </si>
  <si>
    <t>ruth.davies@psrsolicitors.co.uk</t>
  </si>
  <si>
    <t>7 Grosvenor Street</t>
  </si>
  <si>
    <t>CH1 2DD</t>
  </si>
  <si>
    <t>Gateley PLC</t>
  </si>
  <si>
    <t>111 Edmund Street</t>
  </si>
  <si>
    <t>B3 2HJ</t>
  </si>
  <si>
    <t>alison.reid@gateleylegal.com</t>
  </si>
  <si>
    <t>2000 Cathedral Square</t>
  </si>
  <si>
    <t>Cathedral Hill</t>
  </si>
  <si>
    <t>GU2 7YL</t>
  </si>
  <si>
    <t>Park View House, 58 The Ropewalk</t>
  </si>
  <si>
    <t>NG1 5DW</t>
  </si>
  <si>
    <t>Ship Canal House, 98 King Street</t>
  </si>
  <si>
    <t>M2 4WU</t>
  </si>
  <si>
    <t>1 Paternoster Square</t>
  </si>
  <si>
    <t>EC4M 7DX</t>
  </si>
  <si>
    <t>Minerva, 29 East Parade</t>
  </si>
  <si>
    <t>LS1 5PS</t>
  </si>
  <si>
    <t>Jennings Perks Limited</t>
  </si>
  <si>
    <t>Lloyd House Chambers, 3 High Street</t>
  </si>
  <si>
    <t>WALSALL</t>
  </si>
  <si>
    <t>WS9 8LX</t>
  </si>
  <si>
    <t>amilne@jenningsperks.co.uk</t>
  </si>
  <si>
    <t>WESTGATE SOLICITORS LIMITED</t>
  </si>
  <si>
    <t>573-575 High Road</t>
  </si>
  <si>
    <t>IG3 8EE</t>
  </si>
  <si>
    <t>info@westgatesolicitors.co.uk</t>
  </si>
  <si>
    <t>Williamsons Solicitors Limited</t>
  </si>
  <si>
    <t>Times House</t>
  </si>
  <si>
    <t>Yorkshire</t>
  </si>
  <si>
    <t>YO25 6TN</t>
  </si>
  <si>
    <t>Richard.fairbank@williamsons.co.uk</t>
  </si>
  <si>
    <t>45 Lowgate</t>
  </si>
  <si>
    <t>HU1 1EN</t>
  </si>
  <si>
    <t>jenny.holloway@williamsons.co.uk</t>
  </si>
  <si>
    <t>Unit 4-5A, Prospect Arcade</t>
  </si>
  <si>
    <t>Prospect Street</t>
  </si>
  <si>
    <t>YO15 2AL</t>
  </si>
  <si>
    <t>beth.dyson@williamsons.co.uk</t>
  </si>
  <si>
    <t>Mackenzie Jones Solicitors Limited</t>
  </si>
  <si>
    <t>26 St Asaph Business Park</t>
  </si>
  <si>
    <t>LL17 0LJ</t>
  </si>
  <si>
    <t>sara.parry@macjones.com</t>
  </si>
  <si>
    <t>18 Grosvenor Street</t>
  </si>
  <si>
    <t>Menai Bridge</t>
  </si>
  <si>
    <t>Anglesey</t>
  </si>
  <si>
    <t>LL59 5EE</t>
  </si>
  <si>
    <t>David Auld &amp; Co</t>
  </si>
  <si>
    <t>22 Newgate Street</t>
  </si>
  <si>
    <t>NE61 1BA</t>
  </si>
  <si>
    <t>jonathan.richardson@david-auld.co.uk</t>
  </si>
  <si>
    <t>London Corporate Legal Limited</t>
  </si>
  <si>
    <t>Trinity Court Molly Millars Lane</t>
  </si>
  <si>
    <t>RG41 2PY</t>
  </si>
  <si>
    <t>mail@l-c-l.co.uk</t>
  </si>
  <si>
    <t>Medway Exchange Limited</t>
  </si>
  <si>
    <t>Floor 6, Arden House</t>
  </si>
  <si>
    <t>Regent Centre</t>
  </si>
  <si>
    <t>NE3 3LU</t>
  </si>
  <si>
    <t>kellie.quigley@medway-law.co.uk</t>
  </si>
  <si>
    <t>DFA Law LLP</t>
  </si>
  <si>
    <t>2 Waterside Way</t>
  </si>
  <si>
    <t xml:space="preserve">Northampton </t>
  </si>
  <si>
    <t>natalie.grant@dfalaw.co.uk</t>
  </si>
  <si>
    <t>Eg.law Ltd</t>
  </si>
  <si>
    <t>Unit 3 Anastasia House, Overtons Way</t>
  </si>
  <si>
    <t>Poringland</t>
  </si>
  <si>
    <t>NR14 7WZ</t>
  </si>
  <si>
    <t>debbie@eglaw.co.uk</t>
  </si>
  <si>
    <t>Sparling Benham &amp; Brough</t>
  </si>
  <si>
    <t>3 West Stockwell Street</t>
  </si>
  <si>
    <t>CO1 1HQ</t>
  </si>
  <si>
    <t>pc@sparlings.co.uk</t>
  </si>
  <si>
    <t>62a Connaught Avenue</t>
  </si>
  <si>
    <t>CO13 9QH</t>
  </si>
  <si>
    <t>enquiries@sparlings.co.uk</t>
  </si>
  <si>
    <t>Manningtree</t>
  </si>
  <si>
    <t>CO11 1AQ</t>
  </si>
  <si>
    <t>Watson Woodhouse Limited</t>
  </si>
  <si>
    <t>Newham House</t>
  </si>
  <si>
    <t>96-98 Borough Road</t>
  </si>
  <si>
    <t>rrutter@watsonwoodhouse.co.uk</t>
  </si>
  <si>
    <t>First Floor, Apex House</t>
  </si>
  <si>
    <t>Calverts Lane</t>
  </si>
  <si>
    <t>TS18 1SW</t>
  </si>
  <si>
    <t>info@watsonwoodhouse.co.uk</t>
  </si>
  <si>
    <t>2 Norfolk Place</t>
  </si>
  <si>
    <t>TS3 7PB</t>
  </si>
  <si>
    <t>3 Duke Street</t>
  </si>
  <si>
    <t>DL3 7RX</t>
  </si>
  <si>
    <t>6 Victoria Avenue</t>
  </si>
  <si>
    <t>HG1 1ED</t>
  </si>
  <si>
    <t xml:space="preserve">Edwards Willoby and Loch ltd </t>
  </si>
  <si>
    <t>14 Church Street</t>
  </si>
  <si>
    <t>WD3 1DD</t>
  </si>
  <si>
    <t>Joyce@ewllaw.co.uk</t>
  </si>
  <si>
    <t>Simeous Limited</t>
  </si>
  <si>
    <t>26 Hercules Way</t>
  </si>
  <si>
    <t>GU14 6UU</t>
  </si>
  <si>
    <t>chat@simeous.com</t>
  </si>
  <si>
    <t>Dexter Montague LLP</t>
  </si>
  <si>
    <t>105 Oxford Road</t>
  </si>
  <si>
    <t>RG1 7UD</t>
  </si>
  <si>
    <t>billmontague@dextermontague.co.uk</t>
  </si>
  <si>
    <t>Wade &amp; Wade LLP</t>
  </si>
  <si>
    <t>Unit 3B, Lakeside Court</t>
  </si>
  <si>
    <t>Llantarnam Park Way, Llantarnam Industrial Park</t>
  </si>
  <si>
    <t>NP44 3GA</t>
  </si>
  <si>
    <t>info@wadeandwade.law</t>
  </si>
  <si>
    <t>Clarke Willmott LLP</t>
  </si>
  <si>
    <t>9 Colmore Row</t>
  </si>
  <si>
    <t>B3 2BJ</t>
  </si>
  <si>
    <t>Samuel.dodds@clarkewillmott.com</t>
  </si>
  <si>
    <t>Building C, Assembly Bristol</t>
  </si>
  <si>
    <t>Blackbrook Gate</t>
  </si>
  <si>
    <t>TA1 2PG</t>
  </si>
  <si>
    <t>Burlington House, Grange Drive</t>
  </si>
  <si>
    <t>5 St Helen's Place</t>
  </si>
  <si>
    <t>EC3A 6AB</t>
  </si>
  <si>
    <t>Bishopsgate Law Ltd</t>
  </si>
  <si>
    <t>1 Norton Folgate</t>
  </si>
  <si>
    <t>E1 6DB</t>
  </si>
  <si>
    <t>enquiries@bishopsgatelaw.com</t>
  </si>
  <si>
    <t>4 Waterside Way, Ground Floor</t>
  </si>
  <si>
    <t>McCarthy Bennett Holland Solicitors LLP</t>
  </si>
  <si>
    <t xml:space="preserve">Wigan Investment Centre </t>
  </si>
  <si>
    <t xml:space="preserve">Waterside Drive </t>
  </si>
  <si>
    <t>carolinerooks@wigansolicitors.com</t>
  </si>
  <si>
    <t>Juno Property Lawyers Limited</t>
  </si>
  <si>
    <t>43-51 New North Road</t>
  </si>
  <si>
    <t>N1 6LU</t>
  </si>
  <si>
    <t>lenders@juno.legal</t>
  </si>
  <si>
    <t>Cooper Sons Hartley and Williams LLP</t>
  </si>
  <si>
    <t>25 Market Street</t>
  </si>
  <si>
    <t>Chapel en le Frith</t>
  </si>
  <si>
    <t>SK23 0HS</t>
  </si>
  <si>
    <t>steven.hancock@cshw.co.uk</t>
  </si>
  <si>
    <t>9 Terrace Road</t>
  </si>
  <si>
    <t>SK17 6DU</t>
  </si>
  <si>
    <t>Disley</t>
  </si>
  <si>
    <t>3-5 Market Street</t>
  </si>
  <si>
    <t>SK12 2AA</t>
  </si>
  <si>
    <t>Ellis-Fermor &amp; Negus LTD</t>
  </si>
  <si>
    <t>RIPLEY</t>
  </si>
  <si>
    <t>DE5 3BS</t>
  </si>
  <si>
    <t>r.holmes@ellis-fermor.co.uk</t>
  </si>
  <si>
    <t>35 DERBY ROAD</t>
  </si>
  <si>
    <t>LONG EATON</t>
  </si>
  <si>
    <t>NG10 1LU</t>
  </si>
  <si>
    <t>longeaton@ellis-fermor.co.uk</t>
  </si>
  <si>
    <t>2 DEVONSHIRE AVENUE</t>
  </si>
  <si>
    <t>BEESTON</t>
  </si>
  <si>
    <t>NG9 1BS</t>
  </si>
  <si>
    <t>beeston@ellis-fermor.co.uk</t>
  </si>
  <si>
    <t>The Old Registry, 6 Derby Road</t>
  </si>
  <si>
    <t>BELPER</t>
  </si>
  <si>
    <t>DERBYSHIRE</t>
  </si>
  <si>
    <t>DE56 1UU</t>
  </si>
  <si>
    <t>belper@ellis-fermor.co.uk</t>
  </si>
  <si>
    <t>Unit 1, Fountain Court, Gordon Road</t>
  </si>
  <si>
    <t>NG2 5LN</t>
  </si>
  <si>
    <t>westbridgford@ellis-fermor.co.uk</t>
  </si>
  <si>
    <t>Clarke Rowe Solicitors Ltd</t>
  </si>
  <si>
    <t>28 Parkstone Road</t>
  </si>
  <si>
    <t>babs@clarkerowesolicitors.co.uk</t>
  </si>
  <si>
    <t>Hammons Limited</t>
  </si>
  <si>
    <t xml:space="preserve">The Old Bank, 353 Walsgrave Road, </t>
  </si>
  <si>
    <t xml:space="preserve">Coventry, </t>
  </si>
  <si>
    <t>CV2 4BG</t>
  </si>
  <si>
    <t>n.gregory@hammonssolicitors.co.uk</t>
  </si>
  <si>
    <t>2 Park House</t>
  </si>
  <si>
    <t>Station Square</t>
  </si>
  <si>
    <t>CV1 2FL</t>
  </si>
  <si>
    <t>Dickinson Parker Hill Solicitors Limited</t>
  </si>
  <si>
    <t>22 Derby Street</t>
  </si>
  <si>
    <t>L39 2BZ</t>
  </si>
  <si>
    <t>MATHERTON@DPHLAW.CO.UK</t>
  </si>
  <si>
    <t>Rupert Wood and Son Limited</t>
  </si>
  <si>
    <t>60-66 Wellington Road</t>
  </si>
  <si>
    <t>Ashton-under-Lyne</t>
  </si>
  <si>
    <t>OL6 6DE</t>
  </si>
  <si>
    <t>rachel@rupertwood.co.uk</t>
  </si>
  <si>
    <t>Sabz Solicitors LLP</t>
  </si>
  <si>
    <t>615-617 Stretford Road</t>
  </si>
  <si>
    <t>Old Trafford</t>
  </si>
  <si>
    <t>M16 0QA</t>
  </si>
  <si>
    <t>s.roy@sabzsolicitors.co.uk</t>
  </si>
  <si>
    <t>Pickford Solicitors Limited</t>
  </si>
  <si>
    <t>1D Mitre Court, 38 Lichfield Road</t>
  </si>
  <si>
    <t>B74 2LZ</t>
  </si>
  <si>
    <t>harjinder@pickfordsolicitors.com</t>
  </si>
  <si>
    <t>MLS Law (Property) Limited</t>
  </si>
  <si>
    <t>458 Roundhay Road</t>
  </si>
  <si>
    <t>LS8 2HU</t>
  </si>
  <si>
    <t>DM@oakwoodpropertysolicitors.co.uk</t>
  </si>
  <si>
    <t>TMJ Legal Services Limited</t>
  </si>
  <si>
    <t>Foster House, 99 Raby Road</t>
  </si>
  <si>
    <t>TS24 8DT</t>
  </si>
  <si>
    <t>cparker@tmjlegal.co.uk</t>
  </si>
  <si>
    <t>Gilesgate House, 94 Gilesgate</t>
  </si>
  <si>
    <t>DH1 1JA</t>
  </si>
  <si>
    <t>Turner House</t>
  </si>
  <si>
    <t>Burnhope Way</t>
  </si>
  <si>
    <t>SR8 1NT</t>
  </si>
  <si>
    <t>Wingate</t>
  </si>
  <si>
    <t>Gladstone Chambers</t>
  </si>
  <si>
    <t>Co. Durham</t>
  </si>
  <si>
    <t>TS28 5DA</t>
  </si>
  <si>
    <t>Dunn and Baker LLP</t>
  </si>
  <si>
    <t>21 Southernhay East</t>
  </si>
  <si>
    <t>EX1 1QQ</t>
  </si>
  <si>
    <t>mail@dunnandbaker.co.uk</t>
  </si>
  <si>
    <t>Cullompton</t>
  </si>
  <si>
    <t>38 High Street</t>
  </si>
  <si>
    <t>EX15 1AE</t>
  </si>
  <si>
    <t>Slee Blackwell Solicitors LLP</t>
  </si>
  <si>
    <t>Alexandra House</t>
  </si>
  <si>
    <t>EX39 2HJ</t>
  </si>
  <si>
    <t>emma.napper@sleeblackwell.co.uk</t>
  </si>
  <si>
    <t>10 Cross Street</t>
  </si>
  <si>
    <t>EX31 1BA</t>
  </si>
  <si>
    <t xml:space="preserve">Samantha.Millington@sleeblackwell.co.uk </t>
  </si>
  <si>
    <t xml:space="preserve">Braunton </t>
  </si>
  <si>
    <t>2-6 South Street</t>
  </si>
  <si>
    <t>EX33 2AA</t>
  </si>
  <si>
    <t>brett.lawrence@sleeblackwell.co.uk</t>
  </si>
  <si>
    <t xml:space="preserve">South Molton </t>
  </si>
  <si>
    <t>2 Lime Court</t>
  </si>
  <si>
    <t>Pathfields Business Park</t>
  </si>
  <si>
    <t>EX36 3LH</t>
  </si>
  <si>
    <t>3A Oaklands Court, Tiverton Way</t>
  </si>
  <si>
    <t>admin@sleeblackwell.co.uk</t>
  </si>
  <si>
    <t>Convey Us Limited</t>
  </si>
  <si>
    <t>407-413 Birmingham Road</t>
  </si>
  <si>
    <t>Wylde Green</t>
  </si>
  <si>
    <t>B72 1AU</t>
  </si>
  <si>
    <t>Hamza@conveyuslegal.com</t>
  </si>
  <si>
    <t>Andrew Lee &amp; Co Limited</t>
  </si>
  <si>
    <t>ME14 1JH</t>
  </si>
  <si>
    <t>alee@a-lee.com</t>
  </si>
  <si>
    <t xml:space="preserve">RM Legal Solicitors LLP </t>
  </si>
  <si>
    <t xml:space="preserve">Avenue House, 38 The Avenue </t>
  </si>
  <si>
    <t xml:space="preserve">Southampton </t>
  </si>
  <si>
    <t>SO17 1XN</t>
  </si>
  <si>
    <t>russell@rm-legal.co.uk</t>
  </si>
  <si>
    <t>Ringrose Law</t>
  </si>
  <si>
    <t>Endeavour House</t>
  </si>
  <si>
    <t>3 Gilbert Drive, Wyberton Fen</t>
  </si>
  <si>
    <t xml:space="preserve">Boston </t>
  </si>
  <si>
    <t>PE21 7TR</t>
  </si>
  <si>
    <t>nerina.farmer@ringroselaw.co.uk</t>
  </si>
  <si>
    <t>4 St Peter's Hill</t>
  </si>
  <si>
    <t>NG31 6QD</t>
  </si>
  <si>
    <t>Sketchley House, 11 Castlegate</t>
  </si>
  <si>
    <t>NG24 1AZ</t>
  </si>
  <si>
    <t>St Peter At Arches</t>
  </si>
  <si>
    <t>LN2 1EA</t>
  </si>
  <si>
    <t>32 Southgate</t>
  </si>
  <si>
    <t>NG34 7RY</t>
  </si>
  <si>
    <t>Lilac Law Ltd</t>
  </si>
  <si>
    <t>Suite 2, 4Th Floor</t>
  </si>
  <si>
    <t>One Derby Square</t>
  </si>
  <si>
    <t>L2 9QR</t>
  </si>
  <si>
    <t>Joanne.alty@lilac-law.co.uk</t>
  </si>
  <si>
    <t>Kidwells Law Solicitors Limited</t>
  </si>
  <si>
    <t>Kidwells House, 4 Coldnose Road</t>
  </si>
  <si>
    <t>Rotherwas Industrial Estate</t>
  </si>
  <si>
    <t>HR2 6JL</t>
  </si>
  <si>
    <t>info@Kidwellssolicitors.co.uk</t>
  </si>
  <si>
    <t>Kidwells House, Great Park Road</t>
  </si>
  <si>
    <t>BS32 4QG</t>
  </si>
  <si>
    <t>info@kidwellssolicitors.co.uk</t>
  </si>
  <si>
    <t>Affinity Seven Law Solicitors Ltd</t>
  </si>
  <si>
    <t>140 Drake Street</t>
  </si>
  <si>
    <t>OL16 1PS</t>
  </si>
  <si>
    <t>waqar.khan@aslsolicitors.com</t>
  </si>
  <si>
    <t>Newport Land and Law Limited</t>
  </si>
  <si>
    <t>5 High Green Road</t>
  </si>
  <si>
    <t>Normanton</t>
  </si>
  <si>
    <t>WF6 2LF</t>
  </si>
  <si>
    <t>hello@landandlaw.co.uk</t>
  </si>
  <si>
    <t>Office 18</t>
  </si>
  <si>
    <t>Rear Walled Garden, The Nostell Estate Yard</t>
  </si>
  <si>
    <t>Nostell, Wakefield</t>
  </si>
  <si>
    <t>WF4 1AB</t>
  </si>
  <si>
    <t>anna@landandlaw.co.uk</t>
  </si>
  <si>
    <t>Penningtons Manches Cooper LLP</t>
  </si>
  <si>
    <t>9400 Garsington Road</t>
  </si>
  <si>
    <t>Oxford Business Park</t>
  </si>
  <si>
    <t>OXFORD</t>
  </si>
  <si>
    <t>OX4 2HN</t>
  </si>
  <si>
    <t>lenderspanel.team@penningtonslaw.com</t>
  </si>
  <si>
    <t>125 Wood Street</t>
  </si>
  <si>
    <t>EC2V 7AW</t>
  </si>
  <si>
    <t>LendersPanel.Team@Penningtonslaw.com</t>
  </si>
  <si>
    <t>Ground Floor North, Bottle Works</t>
  </si>
  <si>
    <t>The Bars</t>
  </si>
  <si>
    <t>GU1 4LP</t>
  </si>
  <si>
    <t>Oxley &amp; Coward Solicitors LLP</t>
  </si>
  <si>
    <t>Unit K The Point, Bradmarsh Business Park</t>
  </si>
  <si>
    <t>Bradmarsh Way</t>
  </si>
  <si>
    <t>S60 1BP</t>
  </si>
  <si>
    <t>mailbox@oxcow.co.uk</t>
  </si>
  <si>
    <t>Berensens LLP</t>
  </si>
  <si>
    <t>14 Holyrood Street</t>
  </si>
  <si>
    <t>Chard</t>
  </si>
  <si>
    <t>TA20 2AH</t>
  </si>
  <si>
    <t>carinna@berensens.co.uk</t>
  </si>
  <si>
    <t>44 Rolle Street</t>
  </si>
  <si>
    <t>EX8 2SH</t>
  </si>
  <si>
    <t>law@berensens.co.uk</t>
  </si>
  <si>
    <t>15 The Crescent</t>
  </si>
  <si>
    <t>Chetty &amp; Patel Limited</t>
  </si>
  <si>
    <t>133 Loughborough Road</t>
  </si>
  <si>
    <t>LE4 5LQ</t>
  </si>
  <si>
    <t>umesh@chettyandpatel.co.uk</t>
  </si>
  <si>
    <t xml:space="preserve">Poole Townsend Estates Ltd </t>
  </si>
  <si>
    <t>69-75 Duke Street</t>
  </si>
  <si>
    <t xml:space="preserve">Barrow-in-Furness </t>
  </si>
  <si>
    <t>LA14 1RP</t>
  </si>
  <si>
    <t>bclarke@pooletownsend.co.uk</t>
  </si>
  <si>
    <t>1 County Square</t>
  </si>
  <si>
    <t>LA12 7LZ</t>
  </si>
  <si>
    <t>2 Market Place</t>
  </si>
  <si>
    <t>LA9 4TN</t>
  </si>
  <si>
    <t>8 Beetham Road</t>
  </si>
  <si>
    <t>LA7 7QR</t>
  </si>
  <si>
    <t>Clowes &amp; Co. LLP</t>
  </si>
  <si>
    <t>20-22 Leek Road</t>
  </si>
  <si>
    <t>Stockton Brook</t>
  </si>
  <si>
    <t>Stoke-On-Trent</t>
  </si>
  <si>
    <t>ST9 9NN</t>
  </si>
  <si>
    <t>sarah@clowessolicitors.co.uk</t>
  </si>
  <si>
    <t>Dezrezlegal Limited</t>
  </si>
  <si>
    <t>Ethos Building, Kings Road</t>
  </si>
  <si>
    <t>Gareth.Richards@dezrezlegal.co.uk</t>
  </si>
  <si>
    <t>DTM Legal LLP</t>
  </si>
  <si>
    <t>2nd Floor, Knights Court</t>
  </si>
  <si>
    <t>1 Weaver Street</t>
  </si>
  <si>
    <t>CH1 2BQ</t>
  </si>
  <si>
    <t>Gena.pickering@dtmlegal.com</t>
  </si>
  <si>
    <t>3rd Floor</t>
  </si>
  <si>
    <t>No 4 St Pauls Square</t>
  </si>
  <si>
    <t>FDC Law Solicitors</t>
  </si>
  <si>
    <t>Norton House, High Street</t>
  </si>
  <si>
    <t>BA3 2DF</t>
  </si>
  <si>
    <t>mcoward@fdc-law.co.uk</t>
  </si>
  <si>
    <t>64 High Street</t>
  </si>
  <si>
    <t>BS31 1EA</t>
  </si>
  <si>
    <t>keynsham@fdc-law.co.uk</t>
  </si>
  <si>
    <t>21 Bath Street</t>
  </si>
  <si>
    <t>BA11 1DJ</t>
  </si>
  <si>
    <t xml:space="preserve">frome@fdc-law.co.uk </t>
  </si>
  <si>
    <t>Percy Hughes &amp; Roberts Limited</t>
  </si>
  <si>
    <t>19 Hamilton Square</t>
  </si>
  <si>
    <t>CH41 6AY</t>
  </si>
  <si>
    <t>garethedwards@phrsols.co.uk</t>
  </si>
  <si>
    <t>Surrey Property Lawyers LLP</t>
  </si>
  <si>
    <t>The Old Estate Office, The Square, Wilderness Road</t>
  </si>
  <si>
    <t>GU2 7QR</t>
  </si>
  <si>
    <t>catherine@surreypropertylawyers.co.uk</t>
  </si>
  <si>
    <t>Benjamin Law Company Limited</t>
  </si>
  <si>
    <t xml:space="preserve">193A Station Road </t>
  </si>
  <si>
    <t>Stechford</t>
  </si>
  <si>
    <t>B33 8BB</t>
  </si>
  <si>
    <t>umer.binyameen@blcsolicitors.co.uk</t>
  </si>
  <si>
    <t>BHW Solicitors Limited</t>
  </si>
  <si>
    <t>1 Smith Way</t>
  </si>
  <si>
    <t>LE19 1SX</t>
  </si>
  <si>
    <t>info@bhwsolicitors.com</t>
  </si>
  <si>
    <t>5 Smith Way</t>
  </si>
  <si>
    <t>Bank View Solicitors Limited</t>
  </si>
  <si>
    <t>Bank View House</t>
  </si>
  <si>
    <t>55 Preston New Road</t>
  </si>
  <si>
    <t>BB2 6AY</t>
  </si>
  <si>
    <t>anser.amin@bankviewsolicitors.co.uk</t>
  </si>
  <si>
    <t>Connaught Law Limited</t>
  </si>
  <si>
    <t>4th Floor, Totara Park House, 34-36 Grays Inn Road</t>
  </si>
  <si>
    <t>WC1X 8HR</t>
  </si>
  <si>
    <t>n.javid@connaughtlaw.com</t>
  </si>
  <si>
    <t>WS Strategic Ltd</t>
  </si>
  <si>
    <t>Mbp 3, Meadowhall Business Park,</t>
  </si>
  <si>
    <t>Carbrook Hall Road</t>
  </si>
  <si>
    <t>S9 2EQ</t>
  </si>
  <si>
    <t>conveyancingteam@wilfordsmith.com</t>
  </si>
  <si>
    <t>22 Westgate</t>
  </si>
  <si>
    <t>S60 1AP</t>
  </si>
  <si>
    <t>Baker Ashley Ltd</t>
  </si>
  <si>
    <t>Unit 5, Melin Corrwg Business Parc</t>
  </si>
  <si>
    <t>Upper Boat</t>
  </si>
  <si>
    <t>Rhondda Cynon Taff</t>
  </si>
  <si>
    <t>CF37 5BE</t>
  </si>
  <si>
    <t>denise@bakerashley.co.uk</t>
  </si>
  <si>
    <t>Battens Solicitors Limited</t>
  </si>
  <si>
    <t>Maltravers House</t>
  </si>
  <si>
    <t>Petters Way</t>
  </si>
  <si>
    <t>BA20 1SH</t>
  </si>
  <si>
    <t>Ross.Siviter@battens.co.uk</t>
  </si>
  <si>
    <t>The Bank House</t>
  </si>
  <si>
    <t>Long Street</t>
  </si>
  <si>
    <t>DT9 3BU</t>
  </si>
  <si>
    <t>samantha.pattle@battens.co.uk</t>
  </si>
  <si>
    <t>Ansbury Annexe</t>
  </si>
  <si>
    <t>4 Pendruffle Lane</t>
  </si>
  <si>
    <t>DT1 3WJ</t>
  </si>
  <si>
    <t>Cate.Barnes@battens.co.uk</t>
  </si>
  <si>
    <t>2-4 West Street</t>
  </si>
  <si>
    <t>BH20 4JU</t>
  </si>
  <si>
    <t>Sarah.Ford@battens.co.uk</t>
  </si>
  <si>
    <t>Francis House, Fore Street</t>
  </si>
  <si>
    <t xml:space="preserve">Castle Cary </t>
  </si>
  <si>
    <t>BA7 7BQ</t>
  </si>
  <si>
    <t>Ground Floor, 16 West Street</t>
  </si>
  <si>
    <t>DT6 3QP</t>
  </si>
  <si>
    <t>nicola.pugsley@battens.co.uk</t>
  </si>
  <si>
    <t>First Floor, 7 Gay Street</t>
  </si>
  <si>
    <t>BA1 2PH</t>
  </si>
  <si>
    <t>Matthew &amp; Matthew Limited</t>
  </si>
  <si>
    <t>194 Seabourne Road</t>
  </si>
  <si>
    <t>Southbourne</t>
  </si>
  <si>
    <t>BH5 2JD</t>
  </si>
  <si>
    <t>mortgages@mm4law.co.uk</t>
  </si>
  <si>
    <t>Vincents Solicitors Ltd</t>
  </si>
  <si>
    <t>Guild Chambers, 4 Winckley Square</t>
  </si>
  <si>
    <t>PR1 3JJ</t>
  </si>
  <si>
    <t>jemmalloyd@vslaw.co.uk</t>
  </si>
  <si>
    <t>7 Rope Walk</t>
  </si>
  <si>
    <t>PR3 1NS</t>
  </si>
  <si>
    <t>72 Liverpool Road</t>
  </si>
  <si>
    <t>Penwortham</t>
  </si>
  <si>
    <t>PR1 0DQ</t>
  </si>
  <si>
    <t>25 Park Street</t>
  </si>
  <si>
    <t>FY8 5LU</t>
  </si>
  <si>
    <t>Balmoral House, Ackhurst Business Park</t>
  </si>
  <si>
    <t>Foxhole Road</t>
  </si>
  <si>
    <t>PR7 1NY</t>
  </si>
  <si>
    <t>21-23 Park Street</t>
  </si>
  <si>
    <t>Lytham St.Annes</t>
  </si>
  <si>
    <t>1 Vicarage Road</t>
  </si>
  <si>
    <t>Poulton-Le-Fylde</t>
  </si>
  <si>
    <t>FY6 7BE</t>
  </si>
  <si>
    <t>Adams Kaye Ltd</t>
  </si>
  <si>
    <t>Irongate, 30 Dukes Place,</t>
  </si>
  <si>
    <t>s.kaye@adamskaye.com</t>
  </si>
  <si>
    <t>Allied Law Chambers Solicitors Limited</t>
  </si>
  <si>
    <t>547-549 Green Lane</t>
  </si>
  <si>
    <t>IG3 9RJ</t>
  </si>
  <si>
    <t>khan@alcsolicitors.london</t>
  </si>
  <si>
    <t>Aspinall Wright Limited</t>
  </si>
  <si>
    <t>Notary House, 65 High Street West</t>
  </si>
  <si>
    <t>SK13 8AZ</t>
  </si>
  <si>
    <t>lca@awandco.co.uk</t>
  </si>
  <si>
    <t>Vincent Yee Solicitors Ltd</t>
  </si>
  <si>
    <t xml:space="preserve">Suite 302 Guildhall Building, </t>
  </si>
  <si>
    <t>Navigation Street</t>
  </si>
  <si>
    <t>B2 4BT</t>
  </si>
  <si>
    <t>vincent@vincentyeesolicitors.com</t>
  </si>
  <si>
    <t>Wilson Browne LLP</t>
  </si>
  <si>
    <t>4 Grange Park Court, Roman Way</t>
  </si>
  <si>
    <t>Grange Park</t>
  </si>
  <si>
    <t>NN4 5EA</t>
  </si>
  <si>
    <t>jwoodruff@wilsonbrowne.co.uk</t>
  </si>
  <si>
    <t>Kettering Parkway South</t>
  </si>
  <si>
    <t>Kettering Venture Park</t>
  </si>
  <si>
    <t>NN15 6WN</t>
  </si>
  <si>
    <t>ResconKettering@wilsonbrowne.co.uk</t>
  </si>
  <si>
    <t>60B Oxford Street</t>
  </si>
  <si>
    <t>NN8 4JJ</t>
  </si>
  <si>
    <t>enquiries@wilsonbrowne.co.uk</t>
  </si>
  <si>
    <t>6 Peacock Lane</t>
  </si>
  <si>
    <t>LE1 5PS</t>
  </si>
  <si>
    <t>The Manor House</t>
  </si>
  <si>
    <t>12 Market Square</t>
  </si>
  <si>
    <t>Higham Ferrers, Rushden</t>
  </si>
  <si>
    <t>NN10 8BT</t>
  </si>
  <si>
    <t>19 Medlicott Close</t>
  </si>
  <si>
    <t>NN18 9NF</t>
  </si>
  <si>
    <t>resconCorby@wilsonbrowne.co.uk</t>
  </si>
  <si>
    <t>Woodfines LLP</t>
  </si>
  <si>
    <t xml:space="preserve">Brickstone House, Stannard Way </t>
  </si>
  <si>
    <t>MK44 3WG</t>
  </si>
  <si>
    <t>bedfordenquiries@woodfines.co.uk</t>
  </si>
  <si>
    <t>Endurance House, Chivers Way</t>
  </si>
  <si>
    <t>CB24 9ZR</t>
  </si>
  <si>
    <t>tjones@woodfines.co.uk</t>
  </si>
  <si>
    <t>3rd Floor, One Grafton Mews, Midsummer Boulevard</t>
  </si>
  <si>
    <t>MK9 1FB</t>
  </si>
  <si>
    <t>miltonkeynesenquiries@woodfines.co.uk</t>
  </si>
  <si>
    <t>Glaisyers Solicitors LLP</t>
  </si>
  <si>
    <t>3 Hardman Street</t>
  </si>
  <si>
    <t>Leo.Rossiter@glaisyers.com</t>
  </si>
  <si>
    <t>8th Floor, Horton House</t>
  </si>
  <si>
    <t>paul.barrow@glaisyers.com</t>
  </si>
  <si>
    <t>Cunningtons LLP</t>
  </si>
  <si>
    <t xml:space="preserve">Great Square </t>
  </si>
  <si>
    <t>CM7 1UD</t>
  </si>
  <si>
    <t>culzean.tate@cunningtons.co.uk</t>
  </si>
  <si>
    <t xml:space="preserve">2 Tofts Walk </t>
  </si>
  <si>
    <t xml:space="preserve">Braintree </t>
  </si>
  <si>
    <t>CM7 1XH</t>
  </si>
  <si>
    <t>paul.fenton@cunningtons.co.uk</t>
  </si>
  <si>
    <t>31 Duke Street</t>
  </si>
  <si>
    <t>BN1 1AG</t>
  </si>
  <si>
    <t>jason.bradshaw@cunningtons.co.uk</t>
  </si>
  <si>
    <t xml:space="preserve">141 New London Road </t>
  </si>
  <si>
    <t xml:space="preserve">Chelmsford </t>
  </si>
  <si>
    <t>CM2 0QT</t>
  </si>
  <si>
    <t>sarah.tuck@cunningtons.co.uk</t>
  </si>
  <si>
    <t>Second Floor 19 Park Street</t>
  </si>
  <si>
    <t xml:space="preserve">Croydon </t>
  </si>
  <si>
    <t>CR0 1YD</t>
  </si>
  <si>
    <t>zahid.nizam@cunningtons.co.uk</t>
  </si>
  <si>
    <t>First Floor, 135 High Street</t>
  </si>
  <si>
    <t>RM11 3YD</t>
  </si>
  <si>
    <t>palaniappan.ahilan@cunningtons.co.uk</t>
  </si>
  <si>
    <t>Gibraltar Walk</t>
  </si>
  <si>
    <t>SS12 9AX</t>
  </si>
  <si>
    <t>kate.hunt@cunningtons.co.uk</t>
  </si>
  <si>
    <t>Office 18, The Palace</t>
  </si>
  <si>
    <t>1-3 Robertson Street</t>
  </si>
  <si>
    <t>TN34 1HT</t>
  </si>
  <si>
    <t>josephine.filler@cunningtons.co.uk</t>
  </si>
  <si>
    <t>Trethowans LLP</t>
  </si>
  <si>
    <t>London Road Office Park</t>
  </si>
  <si>
    <t>SP1 3HP</t>
  </si>
  <si>
    <t>david.franklin@trethowans.com</t>
  </si>
  <si>
    <t>The Pavilion, Botleigh Grange Business Park</t>
  </si>
  <si>
    <t>Merchants House, Vanguard Road</t>
  </si>
  <si>
    <t>BH15 1PH</t>
  </si>
  <si>
    <t>info@trethowans.com</t>
  </si>
  <si>
    <t>Wykeham Court</t>
  </si>
  <si>
    <t>SO23 7DU</t>
  </si>
  <si>
    <t>Borneo Martell Turner Coulston LLP</t>
  </si>
  <si>
    <t>29 Billing Road</t>
  </si>
  <si>
    <t>NN1 5DQ</t>
  </si>
  <si>
    <t>kathryn.frisby@bmtclaw.co.uk</t>
  </si>
  <si>
    <t>18 Brooklands Court</t>
  </si>
  <si>
    <t>NN15 6FD</t>
  </si>
  <si>
    <t>advice@bmtclaw.co.uk</t>
  </si>
  <si>
    <t>Harrowells Limited</t>
  </si>
  <si>
    <t>1 St Saviourgate</t>
  </si>
  <si>
    <t>YO1 8ZQ</t>
  </si>
  <si>
    <t>advice@harrowells.co.uk</t>
  </si>
  <si>
    <t>Haxby</t>
  </si>
  <si>
    <t>Westow House</t>
  </si>
  <si>
    <t>YO32 3HS</t>
  </si>
  <si>
    <t>Moorgate House</t>
  </si>
  <si>
    <t>Clifton Moorgate</t>
  </si>
  <si>
    <t>YO30 4WY</t>
  </si>
  <si>
    <t>Easingwold</t>
  </si>
  <si>
    <t>YO61 3AB</t>
  </si>
  <si>
    <t>Pocklington</t>
  </si>
  <si>
    <t>YO42 2AQ</t>
  </si>
  <si>
    <t>17 Finkle Street</t>
  </si>
  <si>
    <t>YO7 1DB</t>
  </si>
  <si>
    <t>Farleys Solicitors LLP</t>
  </si>
  <si>
    <t>3 Mead Way</t>
  </si>
  <si>
    <t>Shuttleworth Mead Business Park</t>
  </si>
  <si>
    <t>BB12 7NG</t>
  </si>
  <si>
    <t>info@farleys.com</t>
  </si>
  <si>
    <t>196 Deansgate</t>
  </si>
  <si>
    <t>M3 3WF</t>
  </si>
  <si>
    <t>Charnley House, 13 Winckley Square</t>
  </si>
  <si>
    <t>72 Bank Street</t>
  </si>
  <si>
    <t>BB4 8EG</t>
  </si>
  <si>
    <t>Unit A1, Sovereign Business Park</t>
  </si>
  <si>
    <t>Kings Croft Court</t>
  </si>
  <si>
    <t>WN1 3AP</t>
  </si>
  <si>
    <t>A and Co Solicitors Limited</t>
  </si>
  <si>
    <t>56 Friar Gate</t>
  </si>
  <si>
    <t>DE1 1DF</t>
  </si>
  <si>
    <t>enquiries@aandco.co.uk</t>
  </si>
  <si>
    <t>5 Raynesway</t>
  </si>
  <si>
    <t>Alvaston</t>
  </si>
  <si>
    <t>DE24 0DW</t>
  </si>
  <si>
    <t>The Gate House, 1st Floor 43B Church Gate</t>
  </si>
  <si>
    <t>LE11 1UE</t>
  </si>
  <si>
    <t>46 Bridgford Road</t>
  </si>
  <si>
    <t>NG2 6AP</t>
  </si>
  <si>
    <t xml:space="preserve">7 Church Street </t>
  </si>
  <si>
    <t>NG16 3BP</t>
  </si>
  <si>
    <t>FBC Manby Bowdler (Midlands) Limited</t>
  </si>
  <si>
    <t>6 - 10 George Street</t>
  </si>
  <si>
    <t>Snow Hill</t>
  </si>
  <si>
    <t>WV2 4DN</t>
  </si>
  <si>
    <t>lyn.coughlan@fbcmb.co.uk</t>
  </si>
  <si>
    <t>Juneau House, Sitka Drive</t>
  </si>
  <si>
    <t>Routh House, Hall Court</t>
  </si>
  <si>
    <t>B97 4AD</t>
  </si>
  <si>
    <t>Rowley Regis</t>
  </si>
  <si>
    <t>35 Payne Street</t>
  </si>
  <si>
    <t>B65 0DH</t>
  </si>
  <si>
    <t>info@fbcmb.co.uk</t>
  </si>
  <si>
    <t>1 Summer Hill</t>
  </si>
  <si>
    <t>B63 3BU</t>
  </si>
  <si>
    <t>MYM Law Solicitors LLP</t>
  </si>
  <si>
    <t>329-331 High Street</t>
  </si>
  <si>
    <t>SL1 1TX</t>
  </si>
  <si>
    <t>mymalik@mymsolicitors.co.uk</t>
  </si>
  <si>
    <t>AI Law Group Limited</t>
  </si>
  <si>
    <t>8 Water Street</t>
  </si>
  <si>
    <t>L2 8TD</t>
  </si>
  <si>
    <t xml:space="preserve">dancallister@ai-law.co.uk </t>
  </si>
  <si>
    <t>Davis &amp; Co Property Lawyers Ltd</t>
  </si>
  <si>
    <t>19 Union Street</t>
  </si>
  <si>
    <t>NG13 8AD</t>
  </si>
  <si>
    <t>rose@davisandcopl.co.uk</t>
  </si>
  <si>
    <t>Wright Tamana-Sugden</t>
  </si>
  <si>
    <t>The Leys</t>
  </si>
  <si>
    <t>2C Leyton Road</t>
  </si>
  <si>
    <t>AL5 2TL</t>
  </si>
  <si>
    <t>wrightandc@aol.com</t>
  </si>
  <si>
    <t>Eddowes Perry and Osbourne Limited</t>
  </si>
  <si>
    <t>46 High Street</t>
  </si>
  <si>
    <t>B72 1UL</t>
  </si>
  <si>
    <t>yasar.baz@e-p-o.co.uk</t>
  </si>
  <si>
    <t>B72 1UQ</t>
  </si>
  <si>
    <t>Mansell House, Suite A1</t>
  </si>
  <si>
    <t>Stafforshire</t>
  </si>
  <si>
    <t>jack.mahon@e-p-o.co.uk</t>
  </si>
  <si>
    <t>Clarity Legal Services Limited</t>
  </si>
  <si>
    <t>Ashton House, 3rd Floor West</t>
  </si>
  <si>
    <t>hellojoanne@weareclarity.co.uk</t>
  </si>
  <si>
    <t>Nexa Law Limited</t>
  </si>
  <si>
    <t>Suite 2 Salop House</t>
  </si>
  <si>
    <t>13 Salop Road</t>
  </si>
  <si>
    <t>compliance@nexa.law</t>
  </si>
  <si>
    <t>RWK Goodman LLP</t>
  </si>
  <si>
    <t>Midland Bridge House, Midland Bridge Road</t>
  </si>
  <si>
    <t>BA2 3FP</t>
  </si>
  <si>
    <t>panels@rwkgoodman.com</t>
  </si>
  <si>
    <t>Godstow Court, 5 West Way</t>
  </si>
  <si>
    <t>OX2 0JB</t>
  </si>
  <si>
    <t>1 Newbridge Square</t>
  </si>
  <si>
    <t>SN1 1EA</t>
  </si>
  <si>
    <t>One castle Park</t>
  </si>
  <si>
    <t>Tower Hill</t>
  </si>
  <si>
    <t>BS2 0JA</t>
  </si>
  <si>
    <t>Ansons Solicitors Limited</t>
  </si>
  <si>
    <t>St Marys Chambers</t>
  </si>
  <si>
    <t>5-7 Breadmarket Street</t>
  </si>
  <si>
    <t>WS13 6LQ</t>
  </si>
  <si>
    <t>edurkin@ansons.law</t>
  </si>
  <si>
    <t>Commerce House, Ridings Park</t>
  </si>
  <si>
    <t>Eastern Way</t>
  </si>
  <si>
    <t>WS11 7FJ</t>
  </si>
  <si>
    <t>316 - 318 Lichfield Road</t>
  </si>
  <si>
    <t>B74 2UG</t>
  </si>
  <si>
    <t>Unit 10 Castle Court 2</t>
  </si>
  <si>
    <t>Castlegate Way</t>
  </si>
  <si>
    <t>DY1 4RH</t>
  </si>
  <si>
    <t>info@ansons.law</t>
  </si>
  <si>
    <t>VC Law Ltd</t>
  </si>
  <si>
    <t xml:space="preserve">56 Tithebarn Street </t>
  </si>
  <si>
    <t>L2 2SR</t>
  </si>
  <si>
    <t>james.cranshaw@vclaw.co.uk</t>
  </si>
  <si>
    <t>18 Post Office Avenue</t>
  </si>
  <si>
    <t>PR9 0US</t>
  </si>
  <si>
    <t>enquiries@vclaw.co.uk</t>
  </si>
  <si>
    <t>Formby</t>
  </si>
  <si>
    <t>14 Chapel Lane</t>
  </si>
  <si>
    <t>L37 4DU</t>
  </si>
  <si>
    <t>Sharman Law LLP</t>
  </si>
  <si>
    <t>1 Harpur Street</t>
  </si>
  <si>
    <t>MK40 1PF</t>
  </si>
  <si>
    <t>helen.morris@sharmanlaw.co.uk</t>
  </si>
  <si>
    <t>Ampthill</t>
  </si>
  <si>
    <t>88 Dunstable Street</t>
  </si>
  <si>
    <t>MK45 2JR</t>
  </si>
  <si>
    <t>Arrow Conveyancing Limited</t>
  </si>
  <si>
    <t>Second Floor, Mansion House</t>
  </si>
  <si>
    <t>41 Guildhall Lane</t>
  </si>
  <si>
    <t>LE1 5FQ</t>
  </si>
  <si>
    <t>hayley.mcallister@arrowconveyancing.co.uk</t>
  </si>
  <si>
    <t>Womble Bond Dickinson (UK) LLP</t>
  </si>
  <si>
    <t>The Spark</t>
  </si>
  <si>
    <t>Draymans Way</t>
  </si>
  <si>
    <t>Newcastle Helix</t>
  </si>
  <si>
    <t>NE4 5DE</t>
  </si>
  <si>
    <t>janice.cowley@wbd-uk.com</t>
  </si>
  <si>
    <t>3 Temple Quay</t>
  </si>
  <si>
    <t>Ballard House</t>
  </si>
  <si>
    <t>West Hoe Road</t>
  </si>
  <si>
    <t>PL1 3AE</t>
  </si>
  <si>
    <t>Oceana House</t>
  </si>
  <si>
    <t>39-49 Commercial Road</t>
  </si>
  <si>
    <t>SO15 1GA</t>
  </si>
  <si>
    <t>HB Property Legal Ltd</t>
  </si>
  <si>
    <t>3 Higher Road</t>
  </si>
  <si>
    <t>M41 9AB</t>
  </si>
  <si>
    <t>enquiries@jpgoldman.co.uk</t>
  </si>
  <si>
    <t xml:space="preserve">50-52 Wheelock Street </t>
  </si>
  <si>
    <t>Wains Solicitors LLP</t>
  </si>
  <si>
    <t>39-43 Churchside</t>
  </si>
  <si>
    <t>SK10 1HW</t>
  </si>
  <si>
    <t>kh@wainssolicitors.co.uk</t>
  </si>
  <si>
    <t>28 West Street</t>
  </si>
  <si>
    <t>CW12 1JR</t>
  </si>
  <si>
    <t>lisabradshaw2@wainssolicitors.co.uk</t>
  </si>
  <si>
    <t>Curwens LLP</t>
  </si>
  <si>
    <t>River House</t>
  </si>
  <si>
    <t>90 Church Street</t>
  </si>
  <si>
    <t>EN2 6AR</t>
  </si>
  <si>
    <t>josephine.manani@curwens.co.uk</t>
  </si>
  <si>
    <t>Estate House</t>
  </si>
  <si>
    <t>EN11 8SX</t>
  </si>
  <si>
    <t>hoddesdon@curwens.co.uk</t>
  </si>
  <si>
    <t>17 High Street</t>
  </si>
  <si>
    <t>SG8 9AA</t>
  </si>
  <si>
    <t>Royston@curwens.co.uk</t>
  </si>
  <si>
    <t>1A Friern Park</t>
  </si>
  <si>
    <t>N12 9DE</t>
  </si>
  <si>
    <t>ian.anderson@curwens.co.uk</t>
  </si>
  <si>
    <t>J Scott &amp; Co Limited</t>
  </si>
  <si>
    <t>47 High Street</t>
  </si>
  <si>
    <t>SL6 1JT</t>
  </si>
  <si>
    <t>Tamseel@jscottlegal.co.uk</t>
  </si>
  <si>
    <t>Hart Ford Solicitors Limited</t>
  </si>
  <si>
    <t xml:space="preserve">Suite C, 6th Floor, Beckwith House, </t>
  </si>
  <si>
    <t>1 Wellington Road North</t>
  </si>
  <si>
    <t>SK4 1AF</t>
  </si>
  <si>
    <t>ihart@hartfordsolicitors.com</t>
  </si>
  <si>
    <t>RHJ Devonshire Limited</t>
  </si>
  <si>
    <t>20 Little Britain</t>
  </si>
  <si>
    <t>EC1A 7DH</t>
  </si>
  <si>
    <t>info@rhjdevonshire.co.uk</t>
  </si>
  <si>
    <t>Calthrops Solicitors LLP</t>
  </si>
  <si>
    <t>18 Hall Place</t>
  </si>
  <si>
    <t>PE11 1SQ</t>
  </si>
  <si>
    <t>mk@calthrops.co.uk</t>
  </si>
  <si>
    <t>Holbeach</t>
  </si>
  <si>
    <t>PE12 7EA</t>
  </si>
  <si>
    <t>Threemo Legal Services Limited</t>
  </si>
  <si>
    <t>3 The Office Campus</t>
  </si>
  <si>
    <t>Red Hall Court</t>
  </si>
  <si>
    <t>WF1 2UY</t>
  </si>
  <si>
    <t>info@threemo.co.uk</t>
  </si>
  <si>
    <t>Kenneth M Barrow &amp; Co Limited</t>
  </si>
  <si>
    <t>15-16 Adelaide Row</t>
  </si>
  <si>
    <t>SR7 7EF</t>
  </si>
  <si>
    <t>kmb@kennethmbarrow.com</t>
  </si>
  <si>
    <t>ADAM LEDGER PROPERTY LAWYERS LIMITED</t>
  </si>
  <si>
    <t>104 YORKSHIRE STREET</t>
  </si>
  <si>
    <t>ROCHDALE</t>
  </si>
  <si>
    <t>OL16 1JY</t>
  </si>
  <si>
    <t>admin@adamledger.co.uk</t>
  </si>
  <si>
    <t xml:space="preserve">AMT Lawyers Limited </t>
  </si>
  <si>
    <t>26 Wellington Street St Johns</t>
  </si>
  <si>
    <t>BB1 8AF</t>
  </si>
  <si>
    <t>info@amtlawyers.co.uk</t>
  </si>
  <si>
    <t>Parker Rhodes Hickmotts</t>
  </si>
  <si>
    <t>The Point</t>
  </si>
  <si>
    <t>Bradmarsh Business Park, Bradmarsh Way</t>
  </si>
  <si>
    <t>rachelweaver@prhsolicitors.co.uk</t>
  </si>
  <si>
    <t>Dixon Rigby Keogh Limited</t>
  </si>
  <si>
    <t>34 Crewe Road</t>
  </si>
  <si>
    <t>CW11 4NF</t>
  </si>
  <si>
    <t>Simon.Masters@drk-law.co.uk</t>
  </si>
  <si>
    <t>2 Watling Street</t>
  </si>
  <si>
    <t>CW9 5EX</t>
  </si>
  <si>
    <t>402 HIGH STREET</t>
  </si>
  <si>
    <t>WINSFORD</t>
  </si>
  <si>
    <t>CHESHIRE</t>
  </si>
  <si>
    <t>CW7 2DP</t>
  </si>
  <si>
    <t>GHP Legal</t>
  </si>
  <si>
    <t>26-30 Grosvenor Road</t>
  </si>
  <si>
    <t>WREXHAM</t>
  </si>
  <si>
    <t>richard.lloyd@ghplegal.com</t>
  </si>
  <si>
    <t>37-39 WILLOW STREET</t>
  </si>
  <si>
    <t>OSWESTRY</t>
  </si>
  <si>
    <t>SY11 1AQ</t>
  </si>
  <si>
    <t>oswestry@ghplegal.com</t>
  </si>
  <si>
    <t>THE OLD BANK, BERWYN STREET</t>
  </si>
  <si>
    <t>LLANGOLLEN</t>
  </si>
  <si>
    <t>Clwyd,</t>
  </si>
  <si>
    <t>LL20 8ND</t>
  </si>
  <si>
    <t>llangollen@ghplegal.com</t>
  </si>
  <si>
    <t>21 The Cross</t>
  </si>
  <si>
    <t>SY11 1PN</t>
  </si>
  <si>
    <t>Oswestry@ghplegal.com</t>
  </si>
  <si>
    <t>Woodhall Solicitors Ltd</t>
  </si>
  <si>
    <t>202 Keighley Road</t>
  </si>
  <si>
    <t>BD9 4JZ</t>
  </si>
  <si>
    <t>info@woodhallsolicitors.co.uk</t>
  </si>
  <si>
    <t>Holden Smith Law Limited</t>
  </si>
  <si>
    <t>Ashlar House, 230 Cumberworth Lane</t>
  </si>
  <si>
    <t>Lower Cumberworth</t>
  </si>
  <si>
    <t>HD8 8PR</t>
  </si>
  <si>
    <t>james.smith@holdensmith.co.uk</t>
  </si>
  <si>
    <t>Suite 1, Crossgates House,</t>
  </si>
  <si>
    <t>LS15 8ET</t>
  </si>
  <si>
    <t>107-109 New Roadside</t>
  </si>
  <si>
    <t>LS18 4QD</t>
  </si>
  <si>
    <t>M C Hullah &amp; Company Limited</t>
  </si>
  <si>
    <t>116 High Street</t>
  </si>
  <si>
    <t>Information@mchullah.com</t>
  </si>
  <si>
    <t>Band Hatton Button Solicitors Ltd</t>
  </si>
  <si>
    <t>Earlsdon Park, 53-55 Butts Road</t>
  </si>
  <si>
    <t>CV1 3BH</t>
  </si>
  <si>
    <t>lmm@bandhattonbutton.com</t>
  </si>
  <si>
    <t>Goldsmiths Solicitors Limited</t>
  </si>
  <si>
    <t>155a Ladypool Road</t>
  </si>
  <si>
    <t>B12 8LH</t>
  </si>
  <si>
    <t>srazak@goldsmithssolicitors.co.uk</t>
  </si>
  <si>
    <t>Blake Morgan LLP</t>
  </si>
  <si>
    <t>New Kings Court, Tollgate</t>
  </si>
  <si>
    <t>Chandler's Ford, Eastleigh</t>
  </si>
  <si>
    <t>SO53 3LG</t>
  </si>
  <si>
    <t>Jade.Watson@blakemorgan.co.uk</t>
  </si>
  <si>
    <t>Seacourt Tower</t>
  </si>
  <si>
    <t>West Way</t>
  </si>
  <si>
    <t>OX2 0FB</t>
  </si>
  <si>
    <t>6 New Street Square</t>
  </si>
  <si>
    <t>EC4A 3DJ</t>
  </si>
  <si>
    <t>jade.watson@blakemorgan.co.uk</t>
  </si>
  <si>
    <t>One Central Square</t>
  </si>
  <si>
    <t>CF10 1FS</t>
  </si>
  <si>
    <t>Apex Plaza, Forbury Road</t>
  </si>
  <si>
    <t>RG1 1AX</t>
  </si>
  <si>
    <t>Gd Legal Solicitors Ltd</t>
  </si>
  <si>
    <t>Lowry Mill, Lees Street</t>
  </si>
  <si>
    <t>Pendlebury, Swinton</t>
  </si>
  <si>
    <t>M27 6DB</t>
  </si>
  <si>
    <t>bilal@gdlegal.co.uk</t>
  </si>
  <si>
    <t>Lewis Denley Limited</t>
  </si>
  <si>
    <t>Park House, North Street</t>
  </si>
  <si>
    <t xml:space="preserve">Horsham </t>
  </si>
  <si>
    <t>RH12 1RN</t>
  </si>
  <si>
    <t>info@lewisdenley.com</t>
  </si>
  <si>
    <t xml:space="preserve">Blackfriars Law Limited </t>
  </si>
  <si>
    <t xml:space="preserve">506 Alum Rock Road </t>
  </si>
  <si>
    <t>B8 3HX</t>
  </si>
  <si>
    <t>anwar@blackfriarslaw.co.uk</t>
  </si>
  <si>
    <t>BBH Legal Services Limited</t>
  </si>
  <si>
    <t>2nd Floor, The Hythe</t>
  </si>
  <si>
    <t>Tower Road</t>
  </si>
  <si>
    <t>CH41 1AA</t>
  </si>
  <si>
    <t>info@bbhlegal.co.uk</t>
  </si>
  <si>
    <t>Wadsworths Solicitors Limited</t>
  </si>
  <si>
    <t>325 Stratford Road</t>
  </si>
  <si>
    <t>B90 3BL</t>
  </si>
  <si>
    <t>alexandra.tait@wadsworthslaw.co.uk</t>
  </si>
  <si>
    <t>129 High Street</t>
  </si>
  <si>
    <t>Henley in Arden</t>
  </si>
  <si>
    <t>B95 5AU</t>
  </si>
  <si>
    <t>16-21 Church Street</t>
  </si>
  <si>
    <t>B79 7DH</t>
  </si>
  <si>
    <t>michael.wadsworth@wadsworthslaw.co.uk</t>
  </si>
  <si>
    <t>Abbey Law Limited</t>
  </si>
  <si>
    <t>131 - 133 Hatfield Road,</t>
  </si>
  <si>
    <t>AL1 4JS</t>
  </si>
  <si>
    <t>adeel@abbeylaw.org</t>
  </si>
  <si>
    <t>Hayes &amp; Storr Limited</t>
  </si>
  <si>
    <t>31-33 Upper Market Place</t>
  </si>
  <si>
    <t>Fakenham</t>
  </si>
  <si>
    <t>NR21 9BX</t>
  </si>
  <si>
    <t>jim.pallister@hayes-storr.com</t>
  </si>
  <si>
    <t>Burnham House</t>
  </si>
  <si>
    <t>57-63 Station Road</t>
  </si>
  <si>
    <t>NR26 8RG</t>
  </si>
  <si>
    <t>12 Kerridge Way</t>
  </si>
  <si>
    <t>NR25 6DN</t>
  </si>
  <si>
    <t>The Old County Court</t>
  </si>
  <si>
    <t>County Court Road</t>
  </si>
  <si>
    <t>PE30 5EJ</t>
  </si>
  <si>
    <t>No.1 Beacon House, Turbine Way</t>
  </si>
  <si>
    <t>PE37 7XJ</t>
  </si>
  <si>
    <t>Axis Professional Services Limited</t>
  </si>
  <si>
    <t>Suite 21, Edwin Foden Business Centre, Moss Lane</t>
  </si>
  <si>
    <t>CW11 3AE</t>
  </si>
  <si>
    <t>Michael.devlin@axisprofessional.co.uk</t>
  </si>
  <si>
    <t>Bridger's Law Limited</t>
  </si>
  <si>
    <t>Ground Floor Rear, 10 Conqueror Court</t>
  </si>
  <si>
    <t>Vellum Drive</t>
  </si>
  <si>
    <t>ME10 5BB</t>
  </si>
  <si>
    <t>duane@bridgerslaw.co.uk</t>
  </si>
  <si>
    <t>1st Office, 2nd Floor, 3 Jubilee Way</t>
  </si>
  <si>
    <t>FAVERSHAM</t>
  </si>
  <si>
    <t>ME13 8GD</t>
  </si>
  <si>
    <t>Partridge Allen (Incorporating Dunn &amp; Co)</t>
  </si>
  <si>
    <t>30 Anchor Road</t>
  </si>
  <si>
    <t>WS9 8PJ</t>
  </si>
  <si>
    <t>adrianhindmarsh@partridgeallen.co.uk</t>
  </si>
  <si>
    <t xml:space="preserve">Granville-West Chivers and Morgan </t>
  </si>
  <si>
    <t>PO Box 1, 182 High Street,</t>
  </si>
  <si>
    <t xml:space="preserve">Blackwood </t>
  </si>
  <si>
    <t>NP12 1YB</t>
  </si>
  <si>
    <t>angela.cox-healey@granville-west.co.uk</t>
  </si>
  <si>
    <t xml:space="preserve">49 Church Street </t>
  </si>
  <si>
    <t xml:space="preserve">Abertillery </t>
  </si>
  <si>
    <t>NP13 1DB</t>
  </si>
  <si>
    <t>abertillery@granville-west.co.uk</t>
  </si>
  <si>
    <t xml:space="preserve">Somerset Chambers, 1 Tynewydd Terrace </t>
  </si>
  <si>
    <t xml:space="preserve">Newbridge </t>
  </si>
  <si>
    <t>NP11 4LS</t>
  </si>
  <si>
    <t>newbridge@granville-west.co.uk</t>
  </si>
  <si>
    <t>50/51 Tredegar Street</t>
  </si>
  <si>
    <t xml:space="preserve">Risca </t>
  </si>
  <si>
    <t xml:space="preserve">Caerphilly </t>
  </si>
  <si>
    <t>NP11 6BW</t>
  </si>
  <si>
    <t>risca@granville-west.co.uk</t>
  </si>
  <si>
    <t>Simply Legal Team Limited</t>
  </si>
  <si>
    <t xml:space="preserve">Unit 12, Chess Business Park, </t>
  </si>
  <si>
    <t>Moor Road</t>
  </si>
  <si>
    <t>Chesham</t>
  </si>
  <si>
    <t>HP5 1SD</t>
  </si>
  <si>
    <t>m.raja@simply-legal.co.uk</t>
  </si>
  <si>
    <t>Desford</t>
  </si>
  <si>
    <t>Office 5, The Coach House, Desford Hall</t>
  </si>
  <si>
    <t>Leicester Lane</t>
  </si>
  <si>
    <t>LE9 9JJ</t>
  </si>
  <si>
    <t>s.kaur@simply-legal.co.uk</t>
  </si>
  <si>
    <t>March and Bloom Law Limited</t>
  </si>
  <si>
    <t>32 Richmond Avenue</t>
  </si>
  <si>
    <t>SW20 8LA</t>
  </si>
  <si>
    <t>Kiran.odedra@Marchbloomlaw.com</t>
  </si>
  <si>
    <t>30 Durham Road</t>
  </si>
  <si>
    <t>SW20 0TW</t>
  </si>
  <si>
    <t>kiran.odedra@marchbloomlaw.com</t>
  </si>
  <si>
    <t>TMT Legal Services LLP</t>
  </si>
  <si>
    <t>12 The Marsh</t>
  </si>
  <si>
    <t>SO45 6AL</t>
  </si>
  <si>
    <t>compliance@tmtlegalservices.co.uk</t>
  </si>
  <si>
    <t>12 The Mall, Winchester Road</t>
  </si>
  <si>
    <t>SO53 2QD</t>
  </si>
  <si>
    <t>9 East Street</t>
  </si>
  <si>
    <t>RH12 1HH</t>
  </si>
  <si>
    <t>enquiry@tmtlegalservices.co.uk</t>
  </si>
  <si>
    <t>365 Bitterne Road</t>
  </si>
  <si>
    <t>Bitterne Village</t>
  </si>
  <si>
    <t>SO18 5RR</t>
  </si>
  <si>
    <t>Myers Solicitors Limited</t>
  </si>
  <si>
    <t>33-43 Price Street</t>
  </si>
  <si>
    <t>ST6 4EN</t>
  </si>
  <si>
    <t>Rachel.silvester@myerssolicitors.co.uk</t>
  </si>
  <si>
    <t>Goffs Oak House, 617 Goffs Lane</t>
  </si>
  <si>
    <t>Goffs Oak</t>
  </si>
  <si>
    <t>Waltham Cross</t>
  </si>
  <si>
    <t>EN7 5HG</t>
  </si>
  <si>
    <t>Postroom@gisbyharrison.co.uk</t>
  </si>
  <si>
    <t>Sudbury Stables, Sudbury Road</t>
  </si>
  <si>
    <t>Downham</t>
  </si>
  <si>
    <t>CM11 1LB</t>
  </si>
  <si>
    <t>Louise.Jackman@gisbyharrison.co.uk</t>
  </si>
  <si>
    <t>Parity Legal Limited</t>
  </si>
  <si>
    <t>Parity House, 19a Church Street</t>
  </si>
  <si>
    <t>LE2 5DB</t>
  </si>
  <si>
    <t>kal@paritylegal.co.uk</t>
  </si>
  <si>
    <t xml:space="preserve">Lets Move Conveyancing Limited </t>
  </si>
  <si>
    <t>Brookfield Court</t>
  </si>
  <si>
    <t>Selby Road</t>
  </si>
  <si>
    <t>LS25 1NB</t>
  </si>
  <si>
    <t>adele.barker@letsmoveconveyancing.co.uk</t>
  </si>
  <si>
    <t>Fitz Solicitors Limited</t>
  </si>
  <si>
    <t xml:space="preserve">K House Formerly Money Club House, Slough Road, </t>
  </si>
  <si>
    <t>SL3 9AU</t>
  </si>
  <si>
    <t>primal@fitz-legal.com</t>
  </si>
  <si>
    <t>119 Station Road</t>
  </si>
  <si>
    <t>E4 6BN</t>
  </si>
  <si>
    <t>Andrew &amp; Andrew Solicitors Limited</t>
  </si>
  <si>
    <t>Atlantic House, 114 Kingston Crescent</t>
  </si>
  <si>
    <t>PO2 8AL</t>
  </si>
  <si>
    <t>cbanner@a2law.co.uk</t>
  </si>
  <si>
    <t>PO10 7AN</t>
  </si>
  <si>
    <t>office.emsworth@a2law.co.uk</t>
  </si>
  <si>
    <t>Boys and Maughan LLP</t>
  </si>
  <si>
    <t>India House, Hawley Street</t>
  </si>
  <si>
    <t>Margate</t>
  </si>
  <si>
    <t>CT9 1PZ</t>
  </si>
  <si>
    <t>sap@boysandmaughan.co.uk</t>
  </si>
  <si>
    <t>57 Queen Street</t>
  </si>
  <si>
    <t>CT11 9EJ</t>
  </si>
  <si>
    <t>ramsgate@boysandmaughan.co.uk</t>
  </si>
  <si>
    <t>99 High Street</t>
  </si>
  <si>
    <t>Broadstairs</t>
  </si>
  <si>
    <t>CT10 1NQ</t>
  </si>
  <si>
    <t>broadstairs@boysandmaughan.co.uk</t>
  </si>
  <si>
    <t>83 Station Road</t>
  </si>
  <si>
    <t>Birchington</t>
  </si>
  <si>
    <t>CT7 9RB</t>
  </si>
  <si>
    <t>birchington@boysandmaughan.co.uk</t>
  </si>
  <si>
    <t>32 St Georges Place</t>
  </si>
  <si>
    <t>CT1 1UT</t>
  </si>
  <si>
    <t>CT1 2QH</t>
  </si>
  <si>
    <t>canterburycs@boysandmaughan.co.uk</t>
  </si>
  <si>
    <t>Lodders Solicitors LLP</t>
  </si>
  <si>
    <t>10 Elm Court, Arden Street</t>
  </si>
  <si>
    <t>CV37 6PA</t>
  </si>
  <si>
    <t>cdd@lodders.co.uk</t>
  </si>
  <si>
    <t>B95 5BW</t>
  </si>
  <si>
    <t>Paul.Harrison@lodders.co.uk</t>
  </si>
  <si>
    <t>Glensanda House, 1 Montpellier Parade</t>
  </si>
  <si>
    <t>GL50 1UA</t>
  </si>
  <si>
    <t>Prosperity Law LLP</t>
  </si>
  <si>
    <t>Vantage Point, Hardman Street</t>
  </si>
  <si>
    <t>Warren@prosperitylaw.com</t>
  </si>
  <si>
    <t>Knight Richardson Limited</t>
  </si>
  <si>
    <t>12 Crown House</t>
  </si>
  <si>
    <t>Hornbeam Park</t>
  </si>
  <si>
    <t>HG2 8PB</t>
  </si>
  <si>
    <t>info@knightrichardson.co.uk</t>
  </si>
  <si>
    <t>Lever Law Limited</t>
  </si>
  <si>
    <t>Carter House, Pelaw Leazes Lane</t>
  </si>
  <si>
    <t>DH1 1TB</t>
  </si>
  <si>
    <t>lever@leverlaw.co.uk</t>
  </si>
  <si>
    <t>Hadgkiss Hughes &amp; Beale</t>
  </si>
  <si>
    <t>83 Alcester Road</t>
  </si>
  <si>
    <t>Moseley</t>
  </si>
  <si>
    <t>B13 8EB</t>
  </si>
  <si>
    <t>gordonkeir@hhb-mo.co.uk</t>
  </si>
  <si>
    <t>Acocks Green</t>
  </si>
  <si>
    <t>47 Yardley Road</t>
  </si>
  <si>
    <t>B27 6HQ</t>
  </si>
  <si>
    <t>enquiries@hhb-ago.co.uk</t>
  </si>
  <si>
    <t>1041 Stratford Road</t>
  </si>
  <si>
    <t>B28 8AS</t>
  </si>
  <si>
    <t>enquiries@hhb-hgo.co.uk</t>
  </si>
  <si>
    <t>Guy Williams Layton LLP</t>
  </si>
  <si>
    <t>87 Telegraph Road</t>
  </si>
  <si>
    <t>CH60 0AU</t>
  </si>
  <si>
    <t>nlr@gwl.co.uk</t>
  </si>
  <si>
    <t>4th Floor, Castle Chambers</t>
  </si>
  <si>
    <t>43 Castle Street</t>
  </si>
  <si>
    <t>L2 9SH</t>
  </si>
  <si>
    <t>contact@gwl.co.uk</t>
  </si>
  <si>
    <t>Hawkins Law Limited</t>
  </si>
  <si>
    <t>448 Romford Road</t>
  </si>
  <si>
    <t>E7 8DF</t>
  </si>
  <si>
    <t>mpatel@hawkinslaw.co.uk</t>
  </si>
  <si>
    <t xml:space="preserve">Aberavon Lawyers Limited </t>
  </si>
  <si>
    <t>11 Courtland Place</t>
  </si>
  <si>
    <t>SA13 1JJ</t>
  </si>
  <si>
    <t>rhys@courtlandlaw.com</t>
  </si>
  <si>
    <t>WBW Solicitors LLP</t>
  </si>
  <si>
    <t>Church House, Queen Street</t>
  </si>
  <si>
    <t>NEWTON ABBOT</t>
  </si>
  <si>
    <t>TQ12 2QP</t>
  </si>
  <si>
    <t>suebarsby@wbw.co.uk</t>
  </si>
  <si>
    <t>132-134 Union Street</t>
  </si>
  <si>
    <t>TQ2 5QB</t>
  </si>
  <si>
    <t>Bovey Tracey</t>
  </si>
  <si>
    <t>St Margarets House</t>
  </si>
  <si>
    <t>TQ13 9AL</t>
  </si>
  <si>
    <t>Westgate</t>
  </si>
  <si>
    <t>PL15 9AD</t>
  </si>
  <si>
    <t>63-65 Hyde Road</t>
  </si>
  <si>
    <t>TQ4 5BT</t>
  </si>
  <si>
    <t>The Manor House, 143 High Street</t>
  </si>
  <si>
    <t>EX14 1DJ</t>
  </si>
  <si>
    <t>2 Barnfield Crescent</t>
  </si>
  <si>
    <t>EX1 1QT</t>
  </si>
  <si>
    <t>EX8 1NR</t>
  </si>
  <si>
    <t>Warwick House, 30 High Street</t>
  </si>
  <si>
    <t>EX10 8EA</t>
  </si>
  <si>
    <t>Blackdown Chambers</t>
  </si>
  <si>
    <t>Unit 10 Weycroft Avenue</t>
  </si>
  <si>
    <t>EX13 5HU</t>
  </si>
  <si>
    <t>1 Major Terrace</t>
  </si>
  <si>
    <t>EX12 2RF</t>
  </si>
  <si>
    <t>3 Bolton Street</t>
  </si>
  <si>
    <t>TQ5 9DA</t>
  </si>
  <si>
    <t>Frank Smith &amp; Co Solicitors Limited</t>
  </si>
  <si>
    <t>Essex House, 18 Rodney Road</t>
  </si>
  <si>
    <t>GL50 1JJ</t>
  </si>
  <si>
    <t>frank@franksmithandco.com</t>
  </si>
  <si>
    <t>JMW Solicitors LLP</t>
  </si>
  <si>
    <t>125 Deansgate</t>
  </si>
  <si>
    <t>M3 2BY</t>
  </si>
  <si>
    <t>MichaelPurvisLMS@jmw.co.uk</t>
  </si>
  <si>
    <t xml:space="preserve">Kings House, 36-37 King Street, </t>
  </si>
  <si>
    <t>EC2V 8BB</t>
  </si>
  <si>
    <t>Everett Tomlin Lloyd &amp; Pratt</t>
  </si>
  <si>
    <t>17 Commercial Street</t>
  </si>
  <si>
    <t>NP4 6JQ</t>
  </si>
  <si>
    <t>spurnell@etlp.co.uk</t>
  </si>
  <si>
    <t>Thomas and Thomas Solicitors Limited</t>
  </si>
  <si>
    <t>2 Forge Road</t>
  </si>
  <si>
    <t>SA13 1NU</t>
  </si>
  <si>
    <t>reception@tandtlaw.co.uk</t>
  </si>
  <si>
    <t>1B&amp;C Dunraven Place</t>
  </si>
  <si>
    <t>CF31 1JF</t>
  </si>
  <si>
    <t xml:space="preserve">reception@tandtlaw.co.uk </t>
  </si>
  <si>
    <t>Maesteg</t>
  </si>
  <si>
    <t>22 Commercial Street</t>
  </si>
  <si>
    <t>CF34 9DF</t>
  </si>
  <si>
    <t>72 Bute Street</t>
  </si>
  <si>
    <t>CF42 6BD</t>
  </si>
  <si>
    <t>5 Well Street</t>
  </si>
  <si>
    <t>CF36 3BE</t>
  </si>
  <si>
    <t>WSP Solicitors Ltd</t>
  </si>
  <si>
    <t>3-7 Rowcroft</t>
  </si>
  <si>
    <t>GL5 3BJ</t>
  </si>
  <si>
    <t>lucymccallum@wspsolicitors.com</t>
  </si>
  <si>
    <t>Unit H Elmbridge East Business Park</t>
  </si>
  <si>
    <t>GL3 1QG</t>
  </si>
  <si>
    <t>Gent Law Limited</t>
  </si>
  <si>
    <t>B3 Trentham Business Quarter, Bellringer Road</t>
  </si>
  <si>
    <t>Trentham</t>
  </si>
  <si>
    <t>ST4 8GB</t>
  </si>
  <si>
    <t>rachael@gentlaw.co.uk</t>
  </si>
  <si>
    <t>Greystone Solicitors Limited</t>
  </si>
  <si>
    <t>275 Dunstable Road, Unit 3</t>
  </si>
  <si>
    <t>LU4 8BS</t>
  </si>
  <si>
    <t>bilal.farooq@greystonesolicitors.co.uk</t>
  </si>
  <si>
    <t>Gamlins Solicitors LLP</t>
  </si>
  <si>
    <t>14/15 Trinity Square</t>
  </si>
  <si>
    <t>LL30 2RB</t>
  </si>
  <si>
    <t>georgia.duggan-edwards@gamlins.com</t>
  </si>
  <si>
    <t>4 Wynnstay Road</t>
  </si>
  <si>
    <t>LL29 8NB</t>
  </si>
  <si>
    <t>Bank Buildings, Castle Street</t>
  </si>
  <si>
    <t>LL32 8AU</t>
  </si>
  <si>
    <t>3 Chestnut Court, Parc Menai Business Park</t>
  </si>
  <si>
    <t>LL57 4FH</t>
  </si>
  <si>
    <t>103 High Street</t>
  </si>
  <si>
    <t>LL49 9EY</t>
  </si>
  <si>
    <t>Hart Brown LLP</t>
  </si>
  <si>
    <t>Export House, Henry Plaza</t>
  </si>
  <si>
    <t>Victoria Place, Victoria Way</t>
  </si>
  <si>
    <t>GU21 6QX</t>
  </si>
  <si>
    <t>LXS@hartbrown.co.uk</t>
  </si>
  <si>
    <t>Resolution House, Riverview, Walnut Tree Close</t>
  </si>
  <si>
    <t>GU1 4UX</t>
  </si>
  <si>
    <t>33 High Street</t>
  </si>
  <si>
    <t>KT11 3ES</t>
  </si>
  <si>
    <t>1 Langham Park, Catteshall Lane</t>
  </si>
  <si>
    <t>GU7 1NG</t>
  </si>
  <si>
    <t>2 Bank Buildings, 147 High Street</t>
  </si>
  <si>
    <t>GU6 8BE</t>
  </si>
  <si>
    <t>Burnett Barker Solicitors Limited</t>
  </si>
  <si>
    <t>Collingwood House, 20 Whiting Street</t>
  </si>
  <si>
    <t>m.mortlock@burnettbarker.co.uk</t>
  </si>
  <si>
    <t>Bishop &amp; Sewell LLP</t>
  </si>
  <si>
    <t>59-60 Russell Square</t>
  </si>
  <si>
    <t>WC1B 4HP</t>
  </si>
  <si>
    <t>lms@bishopandsewell.co.uk</t>
  </si>
  <si>
    <t>Edkins Millward Property Lawyers Limited</t>
  </si>
  <si>
    <t>3 Townhouse Gardens</t>
  </si>
  <si>
    <t>debbie@edkinsmillward.co.uk</t>
  </si>
  <si>
    <t>Howard &amp; Co Solicitors LLP</t>
  </si>
  <si>
    <t>S70 2BB</t>
  </si>
  <si>
    <t>Andrew.baines@howardandco.co.uk</t>
  </si>
  <si>
    <t>5-7 Regent Street</t>
  </si>
  <si>
    <t>10a Market Street</t>
  </si>
  <si>
    <t>Spencer West LLP</t>
  </si>
  <si>
    <t>Longbow House, 14-20 Chiswell Street</t>
  </si>
  <si>
    <t>EC1Y 4TW</t>
  </si>
  <si>
    <t>joanne.cummings@spencer-west.com</t>
  </si>
  <si>
    <t xml:space="preserve">24 Moor Street </t>
  </si>
  <si>
    <t>NP16 5DB</t>
  </si>
  <si>
    <t>info@spencer-west.com</t>
  </si>
  <si>
    <t>102 Colmore Row</t>
  </si>
  <si>
    <t>Waterstone Chambers LLP</t>
  </si>
  <si>
    <t>2-5 Minories (2nd Floor)</t>
  </si>
  <si>
    <t>EC3N 1BJ</t>
  </si>
  <si>
    <t>s.ali@wslegal.co.uk</t>
  </si>
  <si>
    <t>Chattertons Legal Services Limited</t>
  </si>
  <si>
    <t>5 South Street</t>
  </si>
  <si>
    <t>Horncastle</t>
  </si>
  <si>
    <t>LN9 6DS</t>
  </si>
  <si>
    <t>Neil.Jones@Chattertons.com</t>
  </si>
  <si>
    <t>28 Wide Bargate</t>
  </si>
  <si>
    <t>Boston</t>
  </si>
  <si>
    <t>PE21 6RT</t>
  </si>
  <si>
    <t>5 Market Street</t>
  </si>
  <si>
    <t>NG34 7SQ</t>
  </si>
  <si>
    <t>Dembleby House, 12 Broad Street</t>
  </si>
  <si>
    <t>PE11 1ES</t>
  </si>
  <si>
    <t>26 Avenue Road</t>
  </si>
  <si>
    <t>NG31 6TH</t>
  </si>
  <si>
    <t>Unit 1, Trentside Business Village, Farndon Road</t>
  </si>
  <si>
    <t>NG24 4XB</t>
  </si>
  <si>
    <t>9 Broad Street</t>
  </si>
  <si>
    <t>PE9 1PY</t>
  </si>
  <si>
    <t>St Swithin's Court, 1 Flavian Road, Nettleham Road</t>
  </si>
  <si>
    <t>LN2 4GR</t>
  </si>
  <si>
    <t>PE10 9NE</t>
  </si>
  <si>
    <t>enquiries@chattertons.com</t>
  </si>
  <si>
    <t>11 Market Place</t>
  </si>
  <si>
    <t>Enquiries@chattertons.com</t>
  </si>
  <si>
    <t>Step Legal Limited</t>
  </si>
  <si>
    <t>213 Nantwich Road</t>
  </si>
  <si>
    <t>CW2 6DA</t>
  </si>
  <si>
    <t>oliviahargreaves@steplegal.co.uk</t>
  </si>
  <si>
    <t>1 Ridge House, Ridge House Drive</t>
  </si>
  <si>
    <t>conveyancing@steplegal.co.uk</t>
  </si>
  <si>
    <t>Walsh Solicitors Limited</t>
  </si>
  <si>
    <t>16-18 Gorton Road</t>
  </si>
  <si>
    <t>SK5 6AE</t>
  </si>
  <si>
    <t>kim@walshconveyancing.co.uk</t>
  </si>
  <si>
    <t>Atkins Dellow LLP</t>
  </si>
  <si>
    <t>Low Green</t>
  </si>
  <si>
    <t xml:space="preserve">Nowton </t>
  </si>
  <si>
    <t>IP29 5ND</t>
  </si>
  <si>
    <t>emily.isted@atkinsdellow.com</t>
  </si>
  <si>
    <t>IP13 9BG</t>
  </si>
  <si>
    <t>client.care@atkinsdellow.com</t>
  </si>
  <si>
    <t>18 The Thoroughfare</t>
  </si>
  <si>
    <t>IP19 8AJ</t>
  </si>
  <si>
    <t>Farnworth Rose Limited</t>
  </si>
  <si>
    <t>17 Kenyon Road</t>
  </si>
  <si>
    <t>BB9 5SP</t>
  </si>
  <si>
    <t>janet@farnworthrose.co.uk</t>
  </si>
  <si>
    <t xml:space="preserve">41 New Cross Street </t>
  </si>
  <si>
    <t xml:space="preserve">Swinton </t>
  </si>
  <si>
    <t>M27 4TU</t>
  </si>
  <si>
    <t>LDJ Solicitors LLP</t>
  </si>
  <si>
    <t>29 Dugdale Street</t>
  </si>
  <si>
    <t>CV11 5QN</t>
  </si>
  <si>
    <t>martin.bunney@ldjsolicitors.co.uk</t>
  </si>
  <si>
    <t>Elizabeth House, St Marys Road</t>
  </si>
  <si>
    <t>LE10 1EQ</t>
  </si>
  <si>
    <t>enquiries@ldjsolicitors.co.uk</t>
  </si>
  <si>
    <t>Adie Pepperdine Ltd</t>
  </si>
  <si>
    <t>3 The Landings</t>
  </si>
  <si>
    <t>Burton Waters</t>
  </si>
  <si>
    <t>LN1 2TU</t>
  </si>
  <si>
    <t>michael.adie@adie-pepperdine.com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</si>
</sst>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theme="1"/>
      <name val="&quot;Poppins Light&quot;"/>
      <family val="2"/>
    </font>
    <font>
      <sz val="10"/>
      <color theme="1"/>
      <name val="&quot;Poppins Light&quot;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&quot;Poppins Light&quot;"/>
      <family val="2"/>
    </font>
    <font>
      <b/>
      <sz val="13"/>
      <color theme="3"/>
      <name val="&quot;Poppins Light&quot;"/>
      <family val="2"/>
    </font>
    <font>
      <b/>
      <sz val="11"/>
      <color theme="3"/>
      <name val="&quot;Poppins Light&quot;"/>
      <family val="2"/>
    </font>
    <font>
      <sz val="10"/>
      <color rgb="FF006100"/>
      <name val="&quot;Poppins Light&quot;"/>
      <family val="2"/>
    </font>
    <font>
      <sz val="10"/>
      <color rgb="FF9C0006"/>
      <name val="&quot;Poppins Light&quot;"/>
      <family val="2"/>
    </font>
    <font>
      <sz val="10"/>
      <color rgb="FF9C5700"/>
      <name val="&quot;Poppins Light&quot;"/>
      <family val="2"/>
    </font>
    <font>
      <sz val="10"/>
      <color rgb="FF3F3F76"/>
      <name val="&quot;Poppins Light&quot;"/>
      <family val="2"/>
    </font>
    <font>
      <b/>
      <sz val="10"/>
      <color rgb="FF3F3F3F"/>
      <name val="&quot;Poppins Light&quot;"/>
      <family val="2"/>
    </font>
    <font>
      <b/>
      <sz val="10"/>
      <color rgb="FFFA7D00"/>
      <name val="&quot;Poppins Light&quot;"/>
      <family val="2"/>
    </font>
    <font>
      <sz val="10"/>
      <color rgb="FFFA7D00"/>
      <name val="&quot;Poppins Light&quot;"/>
      <family val="2"/>
    </font>
    <font>
      <b/>
      <sz val="10"/>
      <color theme="0"/>
      <name val="&quot;Poppins Light&quot;"/>
      <family val="2"/>
    </font>
    <font>
      <sz val="10"/>
      <color rgb="FFFF0000"/>
      <name val="&quot;Poppins Light&quot;"/>
      <family val="2"/>
    </font>
    <font>
      <i/>
      <sz val="10"/>
      <color rgb="FF7F7F7F"/>
      <name val="&quot;Poppins Light&quot;"/>
      <family val="2"/>
    </font>
    <font>
      <b/>
      <sz val="10"/>
      <color theme="1"/>
      <name val="&quot;Poppins Light&quot;"/>
      <family val="2"/>
    </font>
    <font>
      <sz val="10"/>
      <color theme="0"/>
      <name val="&quot;Poppins Light&quot;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64EC1-299C-4695-BD22-8F3650C52A53}">
  <dimension ref="A1:H3310"/>
  <sheetViews>
    <sheetView tabSelected="1" topLeftCell="C1" workbookViewId="0">
      <selection activeCell="B15" sqref="B15"/>
    </sheetView>
  </sheetViews>
  <sheetFormatPr defaultRowHeight="13.2"/>
  <cols>
    <col min="1" max="1" width="53.77734375" bestFit="1" customWidth="1"/>
    <col min="2" max="2" width="49.5546875" bestFit="1" customWidth="1"/>
    <col min="3" max="3" width="41.6640625" bestFit="1" customWidth="1"/>
    <col min="4" max="4" width="22.21875" bestFit="1" customWidth="1"/>
    <col min="5" max="5" width="27" bestFit="1" customWidth="1"/>
    <col min="6" max="6" width="11.109375" bestFit="1" customWidth="1"/>
    <col min="7" max="7" width="47.6640625" bestFit="1" customWidth="1"/>
    <col min="8" max="8" width="16.77734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D2" t="s">
        <v>10</v>
      </c>
      <c r="E2" t="s">
        <v>11</v>
      </c>
      <c r="F2" t="s">
        <v>12</v>
      </c>
      <c r="G2" t="s">
        <v>13</v>
      </c>
      <c r="H2" t="str">
        <f>"01527 910505"</f>
        <v>01527 910505</v>
      </c>
    </row>
    <row r="3" spans="1:8">
      <c r="A3" t="s">
        <v>8</v>
      </c>
      <c r="B3" t="s">
        <v>15</v>
      </c>
      <c r="D3" t="s">
        <v>14</v>
      </c>
      <c r="E3" t="s">
        <v>16</v>
      </c>
      <c r="F3" t="s">
        <v>17</v>
      </c>
      <c r="G3" t="s">
        <v>13</v>
      </c>
      <c r="H3" t="str">
        <f>"0121 270 3363"</f>
        <v>0121 270 3363</v>
      </c>
    </row>
    <row r="4" spans="1:8">
      <c r="A4" t="s">
        <v>18</v>
      </c>
      <c r="B4" t="s">
        <v>19</v>
      </c>
      <c r="D4" t="s">
        <v>20</v>
      </c>
      <c r="E4" t="s">
        <v>11</v>
      </c>
      <c r="F4" t="s">
        <v>21</v>
      </c>
      <c r="G4" t="s">
        <v>22</v>
      </c>
      <c r="H4" t="str">
        <f>"01905726789"</f>
        <v>01905726789</v>
      </c>
    </row>
    <row r="5" spans="1:8">
      <c r="A5" t="s">
        <v>18</v>
      </c>
      <c r="B5" t="s">
        <v>23</v>
      </c>
      <c r="D5" t="s">
        <v>24</v>
      </c>
      <c r="E5" t="s">
        <v>11</v>
      </c>
      <c r="F5" t="s">
        <v>25</v>
      </c>
      <c r="G5" t="s">
        <v>26</v>
      </c>
      <c r="H5" t="str">
        <f>"01386761176"</f>
        <v>01386761176</v>
      </c>
    </row>
    <row r="6" spans="1:8">
      <c r="A6" t="s">
        <v>18</v>
      </c>
      <c r="B6" t="s">
        <v>27</v>
      </c>
      <c r="D6" t="s">
        <v>28</v>
      </c>
      <c r="F6" t="s">
        <v>29</v>
      </c>
      <c r="G6" t="s">
        <v>30</v>
      </c>
      <c r="H6" t="str">
        <f>"01905775533"</f>
        <v>01905775533</v>
      </c>
    </row>
    <row r="7" spans="1:8">
      <c r="A7" t="s">
        <v>18</v>
      </c>
      <c r="B7" t="s">
        <v>31</v>
      </c>
      <c r="C7" t="s">
        <v>32</v>
      </c>
      <c r="D7" t="s">
        <v>20</v>
      </c>
      <c r="E7" t="s">
        <v>11</v>
      </c>
      <c r="F7" t="s">
        <v>33</v>
      </c>
      <c r="G7" t="s">
        <v>34</v>
      </c>
      <c r="H7" t="str">
        <f>"01905 425167"</f>
        <v>01905 425167</v>
      </c>
    </row>
    <row r="8" spans="1:8">
      <c r="A8" t="s">
        <v>35</v>
      </c>
      <c r="B8" t="s">
        <v>36</v>
      </c>
      <c r="D8" t="s">
        <v>37</v>
      </c>
      <c r="E8" t="s">
        <v>38</v>
      </c>
      <c r="F8" t="s">
        <v>39</v>
      </c>
      <c r="G8" t="s">
        <v>40</v>
      </c>
      <c r="H8" t="str">
        <f>"01437776900"</f>
        <v>01437776900</v>
      </c>
    </row>
    <row r="9" spans="1:8">
      <c r="A9" t="s">
        <v>35</v>
      </c>
      <c r="B9" t="s">
        <v>41</v>
      </c>
      <c r="C9" t="s">
        <v>42</v>
      </c>
      <c r="D9" t="s">
        <v>43</v>
      </c>
      <c r="F9" t="s">
        <v>44</v>
      </c>
      <c r="G9" t="s">
        <v>45</v>
      </c>
      <c r="H9" t="str">
        <f>"01437776900"</f>
        <v>01437776900</v>
      </c>
    </row>
    <row r="10" spans="1:8">
      <c r="A10" t="s">
        <v>35</v>
      </c>
      <c r="B10" t="s">
        <v>47</v>
      </c>
      <c r="D10" t="s">
        <v>46</v>
      </c>
      <c r="F10" t="s">
        <v>48</v>
      </c>
      <c r="G10" t="s">
        <v>45</v>
      </c>
      <c r="H10" t="str">
        <f>"01437763383"</f>
        <v>01437763383</v>
      </c>
    </row>
    <row r="11" spans="1:8">
      <c r="A11" t="s">
        <v>49</v>
      </c>
      <c r="B11" t="s">
        <v>50</v>
      </c>
      <c r="C11" t="s">
        <v>51</v>
      </c>
      <c r="D11" t="s">
        <v>52</v>
      </c>
      <c r="E11" t="s">
        <v>53</v>
      </c>
      <c r="F11" t="s">
        <v>54</v>
      </c>
      <c r="G11" t="s">
        <v>55</v>
      </c>
      <c r="H11" t="str">
        <f>"01452 657950"</f>
        <v>01452 657950</v>
      </c>
    </row>
    <row r="12" spans="1:8">
      <c r="A12" t="s">
        <v>49</v>
      </c>
      <c r="B12" t="s">
        <v>56</v>
      </c>
      <c r="D12" t="s">
        <v>57</v>
      </c>
      <c r="F12" t="s">
        <v>58</v>
      </c>
      <c r="G12" t="s">
        <v>59</v>
      </c>
      <c r="H12" t="str">
        <f>"02071010300"</f>
        <v>02071010300</v>
      </c>
    </row>
    <row r="13" spans="1:8">
      <c r="A13" t="s">
        <v>49</v>
      </c>
      <c r="B13" t="s">
        <v>60</v>
      </c>
      <c r="D13" t="s">
        <v>61</v>
      </c>
      <c r="F13" t="s">
        <v>62</v>
      </c>
      <c r="G13" t="s">
        <v>63</v>
      </c>
      <c r="H13" t="str">
        <f>"0117 205 5459"</f>
        <v>0117 205 5459</v>
      </c>
    </row>
    <row r="14" spans="1:8">
      <c r="A14" t="s">
        <v>64</v>
      </c>
      <c r="B14" t="s">
        <v>65</v>
      </c>
      <c r="D14" t="s">
        <v>66</v>
      </c>
      <c r="E14" t="s">
        <v>67</v>
      </c>
      <c r="F14" t="s">
        <v>68</v>
      </c>
      <c r="G14" t="s">
        <v>69</v>
      </c>
      <c r="H14" t="str">
        <f>"01768865551"</f>
        <v>01768865551</v>
      </c>
    </row>
    <row r="15" spans="1:8">
      <c r="A15" t="s">
        <v>64</v>
      </c>
      <c r="B15" t="s">
        <v>71</v>
      </c>
      <c r="D15" t="s">
        <v>70</v>
      </c>
      <c r="E15" t="s">
        <v>67</v>
      </c>
      <c r="F15" t="s">
        <v>72</v>
      </c>
      <c r="G15" t="s">
        <v>69</v>
      </c>
      <c r="H15" t="str">
        <f>"01228 531054"</f>
        <v>01228 531054</v>
      </c>
    </row>
    <row r="16" spans="1:8">
      <c r="A16" t="s">
        <v>73</v>
      </c>
      <c r="B16" t="s">
        <v>74</v>
      </c>
      <c r="C16" t="s">
        <v>75</v>
      </c>
      <c r="D16" t="s">
        <v>76</v>
      </c>
      <c r="E16" t="s">
        <v>77</v>
      </c>
      <c r="F16" t="s">
        <v>78</v>
      </c>
      <c r="G16" t="s">
        <v>79</v>
      </c>
      <c r="H16" t="str">
        <f>"01273249200"</f>
        <v>01273249200</v>
      </c>
    </row>
    <row r="17" spans="1:8">
      <c r="A17" t="s">
        <v>80</v>
      </c>
      <c r="B17" t="s">
        <v>81</v>
      </c>
      <c r="D17" t="s">
        <v>14</v>
      </c>
      <c r="E17" t="s">
        <v>16</v>
      </c>
      <c r="F17" t="s">
        <v>82</v>
      </c>
      <c r="G17" t="s">
        <v>83</v>
      </c>
      <c r="H17" t="str">
        <f>"0121 705 2255"</f>
        <v>0121 705 2255</v>
      </c>
    </row>
    <row r="18" spans="1:8">
      <c r="A18" t="s">
        <v>80</v>
      </c>
      <c r="B18" t="s">
        <v>85</v>
      </c>
      <c r="D18" t="s">
        <v>84</v>
      </c>
      <c r="E18" t="s">
        <v>86</v>
      </c>
      <c r="F18" t="s">
        <v>87</v>
      </c>
      <c r="G18" t="s">
        <v>83</v>
      </c>
      <c r="H18" t="str">
        <f>"01892 553090"</f>
        <v>01892 553090</v>
      </c>
    </row>
    <row r="19" spans="1:8">
      <c r="A19" t="s">
        <v>80</v>
      </c>
      <c r="B19" t="s">
        <v>89</v>
      </c>
      <c r="D19" t="s">
        <v>88</v>
      </c>
      <c r="F19" t="s">
        <v>90</v>
      </c>
      <c r="G19" t="s">
        <v>91</v>
      </c>
      <c r="H19" t="str">
        <f>"01293602895"</f>
        <v>01293602895</v>
      </c>
    </row>
    <row r="20" spans="1:8">
      <c r="A20" t="s">
        <v>92</v>
      </c>
      <c r="B20" t="s">
        <v>93</v>
      </c>
      <c r="D20" t="s">
        <v>94</v>
      </c>
      <c r="E20" t="s">
        <v>11</v>
      </c>
      <c r="F20" t="s">
        <v>95</v>
      </c>
      <c r="G20" t="s">
        <v>96</v>
      </c>
      <c r="H20" t="str">
        <f>"01527 831691"</f>
        <v>01527 831691</v>
      </c>
    </row>
    <row r="21" spans="1:8">
      <c r="A21" t="s">
        <v>92</v>
      </c>
      <c r="B21" t="s">
        <v>98</v>
      </c>
      <c r="D21" t="s">
        <v>97</v>
      </c>
      <c r="E21" t="s">
        <v>11</v>
      </c>
      <c r="F21" t="s">
        <v>99</v>
      </c>
      <c r="G21" t="s">
        <v>100</v>
      </c>
      <c r="H21" t="str">
        <f>"01562820181"</f>
        <v>01562820181</v>
      </c>
    </row>
    <row r="22" spans="1:8">
      <c r="A22" t="s">
        <v>92</v>
      </c>
      <c r="B22" t="s">
        <v>101</v>
      </c>
      <c r="D22" t="s">
        <v>20</v>
      </c>
      <c r="E22" t="s">
        <v>11</v>
      </c>
      <c r="F22" t="s">
        <v>102</v>
      </c>
      <c r="G22" t="s">
        <v>103</v>
      </c>
      <c r="H22" t="str">
        <f>"01905610410"</f>
        <v>01905610410</v>
      </c>
    </row>
    <row r="23" spans="1:8">
      <c r="A23" t="s">
        <v>92</v>
      </c>
      <c r="B23" t="s">
        <v>105</v>
      </c>
      <c r="D23" t="s">
        <v>104</v>
      </c>
      <c r="E23" t="s">
        <v>106</v>
      </c>
      <c r="F23" t="s">
        <v>107</v>
      </c>
      <c r="G23" t="s">
        <v>108</v>
      </c>
      <c r="H23" t="str">
        <f>"01952641651"</f>
        <v>01952641651</v>
      </c>
    </row>
    <row r="24" spans="1:8">
      <c r="A24" t="s">
        <v>92</v>
      </c>
      <c r="B24" t="s">
        <v>110</v>
      </c>
      <c r="D24" t="s">
        <v>109</v>
      </c>
      <c r="E24" t="s">
        <v>106</v>
      </c>
      <c r="F24" t="s">
        <v>111</v>
      </c>
      <c r="G24" t="s">
        <v>112</v>
      </c>
      <c r="H24" t="str">
        <f>"01584873156"</f>
        <v>01584873156</v>
      </c>
    </row>
    <row r="25" spans="1:8">
      <c r="A25" t="s">
        <v>92</v>
      </c>
      <c r="B25" t="s">
        <v>113</v>
      </c>
      <c r="C25" t="s">
        <v>114</v>
      </c>
      <c r="D25" t="s">
        <v>14</v>
      </c>
      <c r="E25" t="s">
        <v>16</v>
      </c>
      <c r="F25" t="s">
        <v>115</v>
      </c>
      <c r="G25" t="s">
        <v>116</v>
      </c>
      <c r="H25" t="str">
        <f>"0121 236 7388"</f>
        <v>0121 236 7388</v>
      </c>
    </row>
    <row r="26" spans="1:8">
      <c r="A26" t="s">
        <v>117</v>
      </c>
      <c r="B26" t="s">
        <v>118</v>
      </c>
      <c r="C26" t="s">
        <v>119</v>
      </c>
      <c r="D26" t="s">
        <v>120</v>
      </c>
      <c r="E26" t="s">
        <v>121</v>
      </c>
      <c r="F26" t="s">
        <v>122</v>
      </c>
      <c r="G26" t="s">
        <v>123</v>
      </c>
      <c r="H26" t="str">
        <f>"01329232314"</f>
        <v>01329232314</v>
      </c>
    </row>
    <row r="27" spans="1:8">
      <c r="A27" t="s">
        <v>117</v>
      </c>
      <c r="B27" t="s">
        <v>125</v>
      </c>
      <c r="C27" t="s">
        <v>126</v>
      </c>
      <c r="D27" t="s">
        <v>124</v>
      </c>
      <c r="F27" t="s">
        <v>127</v>
      </c>
      <c r="G27" t="s">
        <v>128</v>
      </c>
      <c r="H27" t="str">
        <f>"01489 664778"</f>
        <v>01489 664778</v>
      </c>
    </row>
    <row r="28" spans="1:8">
      <c r="A28" t="s">
        <v>129</v>
      </c>
      <c r="B28" t="s">
        <v>130</v>
      </c>
      <c r="D28" t="s">
        <v>131</v>
      </c>
      <c r="E28" t="s">
        <v>132</v>
      </c>
      <c r="F28" t="s">
        <v>133</v>
      </c>
      <c r="G28" t="s">
        <v>134</v>
      </c>
      <c r="H28" t="str">
        <f>"01524 834222"</f>
        <v>01524 834222</v>
      </c>
    </row>
    <row r="29" spans="1:8">
      <c r="A29" t="s">
        <v>129</v>
      </c>
      <c r="B29" t="s">
        <v>136</v>
      </c>
      <c r="D29" t="s">
        <v>135</v>
      </c>
      <c r="E29" t="s">
        <v>132</v>
      </c>
      <c r="F29" t="s">
        <v>137</v>
      </c>
      <c r="G29" t="s">
        <v>134</v>
      </c>
      <c r="H29" t="str">
        <f>"01524 734884"</f>
        <v>01524 734884</v>
      </c>
    </row>
    <row r="30" spans="1:8">
      <c r="A30" t="s">
        <v>138</v>
      </c>
      <c r="B30" t="s">
        <v>139</v>
      </c>
      <c r="C30" t="s">
        <v>140</v>
      </c>
      <c r="D30" t="s">
        <v>141</v>
      </c>
      <c r="F30" t="s">
        <v>142</v>
      </c>
      <c r="G30" t="s">
        <v>143</v>
      </c>
      <c r="H30" t="str">
        <f>"01225 422466"</f>
        <v>01225 422466</v>
      </c>
    </row>
    <row r="31" spans="1:8">
      <c r="A31" t="s">
        <v>144</v>
      </c>
      <c r="B31" t="s">
        <v>145</v>
      </c>
      <c r="D31" t="s">
        <v>146</v>
      </c>
      <c r="F31" t="s">
        <v>147</v>
      </c>
      <c r="G31" t="s">
        <v>148</v>
      </c>
      <c r="H31" t="str">
        <f>"01924664177"</f>
        <v>01924664177</v>
      </c>
    </row>
    <row r="32" spans="1:8">
      <c r="A32" t="s">
        <v>149</v>
      </c>
      <c r="B32" t="s">
        <v>150</v>
      </c>
      <c r="C32" t="s">
        <v>151</v>
      </c>
      <c r="D32" t="s">
        <v>152</v>
      </c>
      <c r="E32" t="s">
        <v>153</v>
      </c>
      <c r="F32" t="s">
        <v>154</v>
      </c>
      <c r="G32" t="s">
        <v>155</v>
      </c>
      <c r="H32" t="str">
        <f>"0118 957 4424"</f>
        <v>0118 957 4424</v>
      </c>
    </row>
    <row r="33" spans="1:8">
      <c r="A33" t="s">
        <v>156</v>
      </c>
      <c r="B33" t="s">
        <v>157</v>
      </c>
      <c r="D33" t="s">
        <v>158</v>
      </c>
      <c r="E33" t="s">
        <v>53</v>
      </c>
      <c r="F33" t="s">
        <v>159</v>
      </c>
      <c r="G33" t="s">
        <v>160</v>
      </c>
      <c r="H33" t="str">
        <f>"01242 323570"</f>
        <v>01242 323570</v>
      </c>
    </row>
    <row r="34" spans="1:8">
      <c r="A34" t="s">
        <v>161</v>
      </c>
      <c r="B34" t="s">
        <v>162</v>
      </c>
      <c r="D34" t="s">
        <v>163</v>
      </c>
      <c r="E34" t="s">
        <v>164</v>
      </c>
      <c r="F34" t="s">
        <v>165</v>
      </c>
      <c r="G34" t="s">
        <v>166</v>
      </c>
      <c r="H34" t="str">
        <f>"03300885792"</f>
        <v>03300885792</v>
      </c>
    </row>
    <row r="35" spans="1:8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172</v>
      </c>
      <c r="G35" t="s">
        <v>173</v>
      </c>
      <c r="H35" t="str">
        <f>"02045110900"</f>
        <v>02045110900</v>
      </c>
    </row>
    <row r="36" spans="1:8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179</v>
      </c>
      <c r="G36" t="s">
        <v>180</v>
      </c>
      <c r="H36" t="str">
        <f>"01633 867000"</f>
        <v>01633 867000</v>
      </c>
    </row>
    <row r="37" spans="1:8">
      <c r="A37" t="s">
        <v>181</v>
      </c>
      <c r="B37" t="s">
        <v>182</v>
      </c>
      <c r="D37" t="s">
        <v>183</v>
      </c>
      <c r="E37" t="s">
        <v>184</v>
      </c>
      <c r="F37" t="s">
        <v>185</v>
      </c>
      <c r="G37" t="s">
        <v>186</v>
      </c>
      <c r="H37" t="str">
        <f>"0800 302 9448 "</f>
        <v xml:space="preserve">0800 302 9448 </v>
      </c>
    </row>
    <row r="38" spans="1:8">
      <c r="A38" t="s">
        <v>181</v>
      </c>
      <c r="B38" t="s">
        <v>188</v>
      </c>
      <c r="C38" t="s">
        <v>189</v>
      </c>
      <c r="D38" t="s">
        <v>187</v>
      </c>
      <c r="E38" t="s">
        <v>190</v>
      </c>
      <c r="F38" t="s">
        <v>191</v>
      </c>
      <c r="G38" t="s">
        <v>192</v>
      </c>
      <c r="H38" t="str">
        <f>"0800 304 2485"</f>
        <v>0800 304 2485</v>
      </c>
    </row>
    <row r="39" spans="1:8">
      <c r="A39" t="s">
        <v>181</v>
      </c>
      <c r="B39" t="s">
        <v>194</v>
      </c>
      <c r="C39" t="s">
        <v>195</v>
      </c>
      <c r="D39" t="s">
        <v>193</v>
      </c>
      <c r="F39" t="s">
        <v>196</v>
      </c>
      <c r="G39" t="s">
        <v>186</v>
      </c>
      <c r="H39" t="str">
        <f>"0800 302 9448"</f>
        <v>0800 302 9448</v>
      </c>
    </row>
    <row r="40" spans="1:8">
      <c r="A40" t="s">
        <v>197</v>
      </c>
      <c r="B40" t="s">
        <v>198</v>
      </c>
      <c r="D40" t="s">
        <v>199</v>
      </c>
      <c r="E40" t="s">
        <v>200</v>
      </c>
      <c r="F40" t="s">
        <v>201</v>
      </c>
      <c r="G40" t="s">
        <v>202</v>
      </c>
      <c r="H40" t="str">
        <f>"01428 774756"</f>
        <v>01428 774756</v>
      </c>
    </row>
    <row r="41" spans="1:8">
      <c r="A41" t="s">
        <v>197</v>
      </c>
      <c r="B41" t="s">
        <v>204</v>
      </c>
      <c r="D41" t="s">
        <v>203</v>
      </c>
      <c r="E41" t="s">
        <v>200</v>
      </c>
      <c r="F41" t="s">
        <v>205</v>
      </c>
      <c r="G41" t="s">
        <v>206</v>
      </c>
      <c r="H41" t="str">
        <f>"01276 23211"</f>
        <v>01276 23211</v>
      </c>
    </row>
    <row r="42" spans="1:8">
      <c r="A42" t="s">
        <v>197</v>
      </c>
      <c r="B42" t="s">
        <v>208</v>
      </c>
      <c r="D42" t="s">
        <v>207</v>
      </c>
      <c r="F42" t="s">
        <v>209</v>
      </c>
      <c r="G42" t="s">
        <v>210</v>
      </c>
      <c r="H42" t="str">
        <f>"01252 881993"</f>
        <v>01252 881993</v>
      </c>
    </row>
    <row r="43" spans="1:8">
      <c r="A43" t="s">
        <v>211</v>
      </c>
      <c r="B43" t="s">
        <v>212</v>
      </c>
      <c r="D43" t="s">
        <v>213</v>
      </c>
      <c r="F43" t="s">
        <v>214</v>
      </c>
      <c r="G43" t="s">
        <v>215</v>
      </c>
      <c r="H43" t="str">
        <f>"01709458786"</f>
        <v>01709458786</v>
      </c>
    </row>
    <row r="44" spans="1:8">
      <c r="A44" t="s">
        <v>211</v>
      </c>
      <c r="B44" t="s">
        <v>216</v>
      </c>
      <c r="D44" t="s">
        <v>217</v>
      </c>
      <c r="F44" t="s">
        <v>218</v>
      </c>
      <c r="G44" t="s">
        <v>219</v>
      </c>
      <c r="H44" t="str">
        <f>"02082265786"</f>
        <v>02082265786</v>
      </c>
    </row>
    <row r="45" spans="1:8">
      <c r="A45" t="s">
        <v>220</v>
      </c>
      <c r="B45" t="s">
        <v>221</v>
      </c>
      <c r="D45" t="s">
        <v>14</v>
      </c>
      <c r="F45" t="s">
        <v>222</v>
      </c>
      <c r="G45" t="s">
        <v>223</v>
      </c>
      <c r="H45" t="str">
        <f>"0121 630 2640"</f>
        <v>0121 630 2640</v>
      </c>
    </row>
    <row r="46" spans="1:8">
      <c r="A46" t="s">
        <v>224</v>
      </c>
      <c r="B46" t="s">
        <v>225</v>
      </c>
      <c r="D46" t="s">
        <v>226</v>
      </c>
      <c r="E46" t="s">
        <v>227</v>
      </c>
      <c r="F46" t="s">
        <v>228</v>
      </c>
      <c r="G46" t="s">
        <v>229</v>
      </c>
      <c r="H46" t="str">
        <f>"01302 341414"</f>
        <v>01302 341414</v>
      </c>
    </row>
    <row r="47" spans="1:8">
      <c r="A47" t="s">
        <v>224</v>
      </c>
      <c r="B47" t="s">
        <v>230</v>
      </c>
      <c r="D47" t="s">
        <v>226</v>
      </c>
      <c r="E47" t="s">
        <v>227</v>
      </c>
      <c r="F47" t="s">
        <v>231</v>
      </c>
      <c r="G47" t="s">
        <v>232</v>
      </c>
      <c r="H47" t="str">
        <f>"01302 360060"</f>
        <v>01302 360060</v>
      </c>
    </row>
    <row r="48" spans="1:8">
      <c r="A48" t="s">
        <v>233</v>
      </c>
      <c r="B48" t="s">
        <v>234</v>
      </c>
      <c r="D48" t="s">
        <v>235</v>
      </c>
      <c r="E48" t="s">
        <v>236</v>
      </c>
      <c r="F48" t="s">
        <v>237</v>
      </c>
      <c r="G48" t="s">
        <v>238</v>
      </c>
      <c r="H48" t="str">
        <f>"01785 259211"</f>
        <v>01785 259211</v>
      </c>
    </row>
    <row r="49" spans="1:8">
      <c r="A49" t="s">
        <v>239</v>
      </c>
      <c r="B49" t="s">
        <v>240</v>
      </c>
      <c r="C49" t="s">
        <v>241</v>
      </c>
      <c r="D49" t="s">
        <v>242</v>
      </c>
      <c r="F49" t="s">
        <v>243</v>
      </c>
      <c r="G49" t="s">
        <v>244</v>
      </c>
      <c r="H49" t="str">
        <f>"01287653990"</f>
        <v>01287653990</v>
      </c>
    </row>
    <row r="50" spans="1:8">
      <c r="A50" t="s">
        <v>239</v>
      </c>
      <c r="B50" t="s">
        <v>246</v>
      </c>
      <c r="D50" t="s">
        <v>245</v>
      </c>
      <c r="E50" t="s">
        <v>247</v>
      </c>
      <c r="F50" t="s">
        <v>248</v>
      </c>
      <c r="G50" t="s">
        <v>249</v>
      </c>
      <c r="H50" t="str">
        <f>"01287 653990"</f>
        <v>01287 653990</v>
      </c>
    </row>
    <row r="51" spans="1:8">
      <c r="A51" t="s">
        <v>239</v>
      </c>
      <c r="B51" t="s">
        <v>251</v>
      </c>
      <c r="D51" t="s">
        <v>250</v>
      </c>
      <c r="F51" t="s">
        <v>252</v>
      </c>
      <c r="G51" t="s">
        <v>249</v>
      </c>
      <c r="H51" t="str">
        <f>"01287 653990"</f>
        <v>01287 653990</v>
      </c>
    </row>
    <row r="52" spans="1:8">
      <c r="A52" t="s">
        <v>239</v>
      </c>
      <c r="B52" t="s">
        <v>254</v>
      </c>
      <c r="D52" t="s">
        <v>253</v>
      </c>
      <c r="F52" t="s">
        <v>255</v>
      </c>
      <c r="G52" t="s">
        <v>249</v>
      </c>
      <c r="H52" t="str">
        <f>"01287 653990"</f>
        <v>01287 653990</v>
      </c>
    </row>
    <row r="53" spans="1:8">
      <c r="A53" t="s">
        <v>239</v>
      </c>
      <c r="B53" t="s">
        <v>257</v>
      </c>
      <c r="D53" t="s">
        <v>256</v>
      </c>
      <c r="F53" t="s">
        <v>258</v>
      </c>
      <c r="G53" t="s">
        <v>249</v>
      </c>
      <c r="H53" t="str">
        <f>"01287653990"</f>
        <v>01287653990</v>
      </c>
    </row>
    <row r="54" spans="1:8">
      <c r="A54" t="s">
        <v>259</v>
      </c>
      <c r="B54" t="s">
        <v>260</v>
      </c>
      <c r="D54" t="s">
        <v>261</v>
      </c>
      <c r="E54" t="s">
        <v>200</v>
      </c>
      <c r="F54" t="s">
        <v>262</v>
      </c>
      <c r="G54" t="s">
        <v>263</v>
      </c>
      <c r="H54" t="str">
        <f>"01737457457"</f>
        <v>01737457457</v>
      </c>
    </row>
    <row r="55" spans="1:8">
      <c r="A55" t="s">
        <v>264</v>
      </c>
      <c r="B55" t="s">
        <v>265</v>
      </c>
      <c r="D55" t="s">
        <v>266</v>
      </c>
      <c r="F55" t="s">
        <v>267</v>
      </c>
      <c r="G55" t="s">
        <v>268</v>
      </c>
      <c r="H55" t="str">
        <f>"0142 3225 556"</f>
        <v>0142 3225 556</v>
      </c>
    </row>
    <row r="56" spans="1:8">
      <c r="A56" t="s">
        <v>264</v>
      </c>
      <c r="B56" t="s">
        <v>270</v>
      </c>
      <c r="D56" t="s">
        <v>271</v>
      </c>
      <c r="F56" t="s">
        <v>272</v>
      </c>
      <c r="G56" t="s">
        <v>273</v>
      </c>
      <c r="H56" t="str">
        <f>"01423225556"</f>
        <v>01423225556</v>
      </c>
    </row>
    <row r="57" spans="1:8">
      <c r="A57" t="s">
        <v>264</v>
      </c>
      <c r="B57" t="s">
        <v>274</v>
      </c>
      <c r="D57" t="s">
        <v>57</v>
      </c>
      <c r="F57" t="s">
        <v>275</v>
      </c>
      <c r="G57" t="s">
        <v>273</v>
      </c>
      <c r="H57" t="str">
        <f>"020 8051 4222"</f>
        <v>020 8051 4222</v>
      </c>
    </row>
    <row r="58" spans="1:8">
      <c r="A58" t="s">
        <v>276</v>
      </c>
      <c r="B58" t="s">
        <v>277</v>
      </c>
      <c r="C58" t="s">
        <v>278</v>
      </c>
      <c r="D58" t="s">
        <v>279</v>
      </c>
      <c r="E58" t="s">
        <v>280</v>
      </c>
      <c r="F58" t="s">
        <v>281</v>
      </c>
      <c r="G58" t="s">
        <v>282</v>
      </c>
      <c r="H58" t="str">
        <f>"01943 461414"</f>
        <v>01943 461414</v>
      </c>
    </row>
    <row r="59" spans="1:8">
      <c r="A59" t="s">
        <v>283</v>
      </c>
      <c r="B59" t="s">
        <v>284</v>
      </c>
      <c r="C59" t="s">
        <v>285</v>
      </c>
      <c r="D59" t="s">
        <v>286</v>
      </c>
      <c r="F59" t="s">
        <v>287</v>
      </c>
      <c r="G59" t="s">
        <v>288</v>
      </c>
      <c r="H59" t="str">
        <f>"01246 956300"</f>
        <v>01246 956300</v>
      </c>
    </row>
    <row r="60" spans="1:8">
      <c r="A60" t="s">
        <v>289</v>
      </c>
      <c r="B60" t="s">
        <v>290</v>
      </c>
      <c r="D60" t="s">
        <v>291</v>
      </c>
      <c r="E60" t="s">
        <v>292</v>
      </c>
      <c r="F60" t="s">
        <v>293</v>
      </c>
      <c r="G60" t="s">
        <v>294</v>
      </c>
      <c r="H60" t="str">
        <f>"01522717221"</f>
        <v>01522717221</v>
      </c>
    </row>
    <row r="61" spans="1:8">
      <c r="A61" t="s">
        <v>295</v>
      </c>
      <c r="B61" t="s">
        <v>296</v>
      </c>
      <c r="D61" t="s">
        <v>297</v>
      </c>
      <c r="F61" t="s">
        <v>298</v>
      </c>
      <c r="G61" t="s">
        <v>299</v>
      </c>
      <c r="H61" t="str">
        <f>"0333 4330 275"</f>
        <v>0333 4330 275</v>
      </c>
    </row>
    <row r="62" spans="1:8">
      <c r="A62" t="s">
        <v>300</v>
      </c>
      <c r="B62" t="s">
        <v>301</v>
      </c>
      <c r="C62" t="s">
        <v>302</v>
      </c>
      <c r="D62" t="s">
        <v>303</v>
      </c>
      <c r="F62" t="s">
        <v>304</v>
      </c>
      <c r="G62" t="s">
        <v>305</v>
      </c>
      <c r="H62" t="str">
        <f>"02922338363"</f>
        <v>02922338363</v>
      </c>
    </row>
    <row r="63" spans="1:8">
      <c r="A63" t="s">
        <v>306</v>
      </c>
      <c r="B63" t="s">
        <v>307</v>
      </c>
      <c r="D63" t="s">
        <v>308</v>
      </c>
      <c r="E63" t="s">
        <v>309</v>
      </c>
      <c r="F63" t="s">
        <v>310</v>
      </c>
      <c r="G63" t="s">
        <v>311</v>
      </c>
      <c r="H63" t="str">
        <f>"01803299131"</f>
        <v>01803299131</v>
      </c>
    </row>
    <row r="64" spans="1:8">
      <c r="A64" t="s">
        <v>312</v>
      </c>
      <c r="B64" t="s">
        <v>313</v>
      </c>
      <c r="D64" t="s">
        <v>314</v>
      </c>
      <c r="E64" t="s">
        <v>315</v>
      </c>
      <c r="F64" t="s">
        <v>316</v>
      </c>
      <c r="G64" t="s">
        <v>317</v>
      </c>
      <c r="H64" t="str">
        <f>"01270610300"</f>
        <v>01270610300</v>
      </c>
    </row>
    <row r="65" spans="1:8">
      <c r="A65" t="s">
        <v>312</v>
      </c>
      <c r="B65" t="s">
        <v>318</v>
      </c>
      <c r="D65" t="s">
        <v>319</v>
      </c>
      <c r="E65" t="s">
        <v>315</v>
      </c>
      <c r="F65" t="s">
        <v>320</v>
      </c>
      <c r="G65" t="s">
        <v>317</v>
      </c>
      <c r="H65" t="str">
        <f>"01270 212000"</f>
        <v>01270 212000</v>
      </c>
    </row>
    <row r="66" spans="1:8">
      <c r="A66" t="s">
        <v>312</v>
      </c>
      <c r="B66" t="s">
        <v>321</v>
      </c>
      <c r="C66" t="s">
        <v>322</v>
      </c>
      <c r="D66" t="s">
        <v>319</v>
      </c>
      <c r="F66" t="s">
        <v>323</v>
      </c>
      <c r="G66" t="s">
        <v>317</v>
      </c>
      <c r="H66" t="str">
        <f>"01270 3907456"</f>
        <v>01270 3907456</v>
      </c>
    </row>
    <row r="67" spans="1:8">
      <c r="A67" t="s">
        <v>324</v>
      </c>
      <c r="B67" t="s">
        <v>325</v>
      </c>
      <c r="D67" t="s">
        <v>326</v>
      </c>
      <c r="E67" t="s">
        <v>280</v>
      </c>
      <c r="F67" t="s">
        <v>327</v>
      </c>
      <c r="G67" t="s">
        <v>328</v>
      </c>
      <c r="H67" t="str">
        <f>"01924291111"</f>
        <v>01924291111</v>
      </c>
    </row>
    <row r="68" spans="1:8">
      <c r="A68" t="s">
        <v>324</v>
      </c>
      <c r="B68" t="s">
        <v>329</v>
      </c>
      <c r="C68" t="s">
        <v>330</v>
      </c>
      <c r="D68" t="s">
        <v>326</v>
      </c>
      <c r="F68" t="s">
        <v>331</v>
      </c>
      <c r="G68" t="s">
        <v>328</v>
      </c>
      <c r="H68" t="str">
        <f>"01924291111"</f>
        <v>01924291111</v>
      </c>
    </row>
    <row r="69" spans="1:8">
      <c r="A69" t="s">
        <v>332</v>
      </c>
      <c r="B69" t="s">
        <v>333</v>
      </c>
      <c r="D69" t="s">
        <v>334</v>
      </c>
      <c r="E69" t="s">
        <v>121</v>
      </c>
      <c r="F69" t="s">
        <v>335</v>
      </c>
      <c r="G69" t="s">
        <v>336</v>
      </c>
      <c r="H69" t="str">
        <f>"01256 844888 "</f>
        <v xml:space="preserve">01256 844888 </v>
      </c>
    </row>
    <row r="70" spans="1:8">
      <c r="A70" t="s">
        <v>337</v>
      </c>
      <c r="B70" t="s">
        <v>338</v>
      </c>
      <c r="D70" t="s">
        <v>339</v>
      </c>
      <c r="E70" t="s">
        <v>340</v>
      </c>
      <c r="F70" t="s">
        <v>341</v>
      </c>
      <c r="G70" t="s">
        <v>342</v>
      </c>
      <c r="H70" t="str">
        <f>"01914974630"</f>
        <v>01914974630</v>
      </c>
    </row>
    <row r="71" spans="1:8">
      <c r="A71" t="s">
        <v>343</v>
      </c>
      <c r="B71" t="s">
        <v>344</v>
      </c>
      <c r="C71" t="s">
        <v>345</v>
      </c>
      <c r="D71" t="s">
        <v>297</v>
      </c>
      <c r="F71" t="s">
        <v>346</v>
      </c>
      <c r="G71" t="s">
        <v>347</v>
      </c>
      <c r="H71" t="str">
        <f>"03332423976"</f>
        <v>03332423976</v>
      </c>
    </row>
    <row r="72" spans="1:8">
      <c r="A72" t="s">
        <v>343</v>
      </c>
      <c r="B72" t="s">
        <v>348</v>
      </c>
      <c r="D72" t="s">
        <v>14</v>
      </c>
      <c r="F72" t="s">
        <v>349</v>
      </c>
      <c r="G72" t="s">
        <v>347</v>
      </c>
      <c r="H72" t="str">
        <f>"03332423976"</f>
        <v>03332423976</v>
      </c>
    </row>
    <row r="73" spans="1:8">
      <c r="A73" t="s">
        <v>343</v>
      </c>
      <c r="B73" t="s">
        <v>350</v>
      </c>
      <c r="C73" t="s">
        <v>351</v>
      </c>
      <c r="D73" t="s">
        <v>57</v>
      </c>
      <c r="F73" t="s">
        <v>352</v>
      </c>
      <c r="G73" t="s">
        <v>353</v>
      </c>
      <c r="H73" t="str">
        <f>"03332423976"</f>
        <v>03332423976</v>
      </c>
    </row>
    <row r="74" spans="1:8">
      <c r="A74" t="s">
        <v>343</v>
      </c>
      <c r="B74" t="s">
        <v>354</v>
      </c>
      <c r="D74" t="s">
        <v>355</v>
      </c>
      <c r="F74" t="s">
        <v>356</v>
      </c>
      <c r="G74" t="s">
        <v>357</v>
      </c>
      <c r="H74" t="str">
        <f>"03332423976"</f>
        <v>03332423976</v>
      </c>
    </row>
    <row r="75" spans="1:8">
      <c r="A75" t="s">
        <v>343</v>
      </c>
      <c r="B75" t="s">
        <v>358</v>
      </c>
      <c r="D75" t="s">
        <v>57</v>
      </c>
      <c r="F75" t="s">
        <v>359</v>
      </c>
      <c r="G75" t="s">
        <v>347</v>
      </c>
      <c r="H75" t="str">
        <f>"03332423976"</f>
        <v>03332423976</v>
      </c>
    </row>
    <row r="76" spans="1:8">
      <c r="A76" t="s">
        <v>343</v>
      </c>
      <c r="B76" t="s">
        <v>360</v>
      </c>
      <c r="C76" t="s">
        <v>361</v>
      </c>
      <c r="D76" t="s">
        <v>362</v>
      </c>
      <c r="E76" t="s">
        <v>363</v>
      </c>
      <c r="F76" t="s">
        <v>364</v>
      </c>
      <c r="G76" t="s">
        <v>365</v>
      </c>
      <c r="H76" t="str">
        <f>"01282 222 802"</f>
        <v>01282 222 802</v>
      </c>
    </row>
    <row r="77" spans="1:8">
      <c r="A77" t="s">
        <v>366</v>
      </c>
      <c r="B77" t="s">
        <v>367</v>
      </c>
      <c r="D77" t="s">
        <v>368</v>
      </c>
      <c r="E77" t="s">
        <v>369</v>
      </c>
      <c r="F77" t="s">
        <v>370</v>
      </c>
      <c r="G77" t="s">
        <v>371</v>
      </c>
      <c r="H77" t="str">
        <f>"01733888888"</f>
        <v>01733888888</v>
      </c>
    </row>
    <row r="78" spans="1:8">
      <c r="A78" t="s">
        <v>366</v>
      </c>
      <c r="B78" t="s">
        <v>373</v>
      </c>
      <c r="D78" t="s">
        <v>372</v>
      </c>
      <c r="E78" t="s">
        <v>292</v>
      </c>
      <c r="F78" t="s">
        <v>374</v>
      </c>
      <c r="G78" t="s">
        <v>371</v>
      </c>
      <c r="H78" t="str">
        <f>"01780 484570"</f>
        <v>01780 484570</v>
      </c>
    </row>
    <row r="79" spans="1:8">
      <c r="A79" t="s">
        <v>366</v>
      </c>
      <c r="B79" t="s">
        <v>375</v>
      </c>
      <c r="C79" t="s">
        <v>376</v>
      </c>
      <c r="D79" t="s">
        <v>377</v>
      </c>
      <c r="E79" t="s">
        <v>57</v>
      </c>
      <c r="F79" t="s">
        <v>378</v>
      </c>
      <c r="G79" t="s">
        <v>371</v>
      </c>
      <c r="H79" t="str">
        <f>"020 7391 1000"</f>
        <v>020 7391 1000</v>
      </c>
    </row>
    <row r="80" spans="1:8">
      <c r="A80" t="s">
        <v>366</v>
      </c>
      <c r="B80" t="s">
        <v>380</v>
      </c>
      <c r="C80" t="s">
        <v>381</v>
      </c>
      <c r="D80" t="s">
        <v>379</v>
      </c>
      <c r="E80" t="s">
        <v>369</v>
      </c>
      <c r="F80" t="s">
        <v>382</v>
      </c>
      <c r="G80" t="s">
        <v>371</v>
      </c>
      <c r="H80" t="str">
        <f>"01223 867060"</f>
        <v>01223 867060</v>
      </c>
    </row>
    <row r="81" spans="1:8">
      <c r="A81" t="s">
        <v>366</v>
      </c>
      <c r="B81" t="s">
        <v>384</v>
      </c>
      <c r="C81" t="s">
        <v>385</v>
      </c>
      <c r="D81" t="s">
        <v>383</v>
      </c>
      <c r="F81" t="s">
        <v>386</v>
      </c>
      <c r="G81" t="s">
        <v>371</v>
      </c>
      <c r="H81" t="str">
        <f>"01793 687500"</f>
        <v>01793 687500</v>
      </c>
    </row>
    <row r="82" spans="1:8">
      <c r="A82" t="s">
        <v>366</v>
      </c>
      <c r="B82" t="s">
        <v>387</v>
      </c>
      <c r="C82" t="s">
        <v>388</v>
      </c>
      <c r="D82" t="s">
        <v>61</v>
      </c>
      <c r="F82" t="s">
        <v>389</v>
      </c>
      <c r="G82" t="s">
        <v>371</v>
      </c>
      <c r="H82" t="str">
        <f>"01173329540"</f>
        <v>01173329540</v>
      </c>
    </row>
    <row r="83" spans="1:8">
      <c r="A83" t="s">
        <v>390</v>
      </c>
      <c r="B83" t="s">
        <v>391</v>
      </c>
      <c r="D83" t="s">
        <v>57</v>
      </c>
      <c r="F83" t="s">
        <v>392</v>
      </c>
      <c r="G83" t="s">
        <v>393</v>
      </c>
      <c r="H83" t="str">
        <f>"02074239977"</f>
        <v>02074239977</v>
      </c>
    </row>
    <row r="84" spans="1:8">
      <c r="A84" t="s">
        <v>394</v>
      </c>
      <c r="B84" t="s">
        <v>395</v>
      </c>
      <c r="D84" t="s">
        <v>396</v>
      </c>
      <c r="E84" t="s">
        <v>397</v>
      </c>
      <c r="F84" t="s">
        <v>398</v>
      </c>
      <c r="G84" t="s">
        <v>399</v>
      </c>
      <c r="H84" t="str">
        <f>"01582 731161"</f>
        <v>01582 731161</v>
      </c>
    </row>
    <row r="85" spans="1:8">
      <c r="A85" t="s">
        <v>394</v>
      </c>
      <c r="B85" t="s">
        <v>401</v>
      </c>
      <c r="D85" t="s">
        <v>400</v>
      </c>
      <c r="E85" t="s">
        <v>184</v>
      </c>
      <c r="F85" t="s">
        <v>402</v>
      </c>
      <c r="G85" t="s">
        <v>399</v>
      </c>
      <c r="H85" t="str">
        <f>"01582765111"</f>
        <v>01582765111</v>
      </c>
    </row>
    <row r="86" spans="1:8">
      <c r="A86" t="s">
        <v>394</v>
      </c>
      <c r="B86" t="s">
        <v>404</v>
      </c>
      <c r="D86" t="s">
        <v>403</v>
      </c>
      <c r="E86" t="s">
        <v>184</v>
      </c>
      <c r="F86" t="s">
        <v>405</v>
      </c>
      <c r="G86" t="s">
        <v>399</v>
      </c>
      <c r="H86" t="str">
        <f>"01727845245"</f>
        <v>01727845245</v>
      </c>
    </row>
    <row r="87" spans="1:8">
      <c r="A87" t="s">
        <v>406</v>
      </c>
      <c r="B87" t="s">
        <v>407</v>
      </c>
      <c r="C87" t="s">
        <v>408</v>
      </c>
      <c r="D87" t="s">
        <v>409</v>
      </c>
      <c r="E87" t="s">
        <v>410</v>
      </c>
      <c r="F87" t="s">
        <v>411</v>
      </c>
      <c r="G87" t="s">
        <v>412</v>
      </c>
      <c r="H87" t="str">
        <f>"0115 9474486"</f>
        <v>0115 9474486</v>
      </c>
    </row>
    <row r="88" spans="1:8">
      <c r="A88" t="s">
        <v>413</v>
      </c>
      <c r="B88" t="s">
        <v>414</v>
      </c>
      <c r="D88" t="s">
        <v>355</v>
      </c>
      <c r="E88" t="s">
        <v>280</v>
      </c>
      <c r="F88" t="s">
        <v>415</v>
      </c>
      <c r="G88" t="s">
        <v>416</v>
      </c>
      <c r="H88" t="str">
        <f>"03442 250660"</f>
        <v>03442 250660</v>
      </c>
    </row>
    <row r="89" spans="1:8">
      <c r="A89" t="s">
        <v>417</v>
      </c>
      <c r="B89" t="s">
        <v>418</v>
      </c>
      <c r="C89" t="s">
        <v>419</v>
      </c>
      <c r="D89" t="s">
        <v>420</v>
      </c>
      <c r="E89" t="s">
        <v>132</v>
      </c>
      <c r="F89" t="s">
        <v>421</v>
      </c>
      <c r="G89" t="s">
        <v>422</v>
      </c>
      <c r="H89" t="str">
        <f>"01772251287"</f>
        <v>01772251287</v>
      </c>
    </row>
    <row r="90" spans="1:8">
      <c r="A90" t="s">
        <v>423</v>
      </c>
      <c r="B90" t="s">
        <v>424</v>
      </c>
      <c r="C90" t="s">
        <v>425</v>
      </c>
      <c r="D90" t="s">
        <v>355</v>
      </c>
      <c r="E90" t="s">
        <v>280</v>
      </c>
      <c r="F90" t="s">
        <v>426</v>
      </c>
      <c r="G90" t="s">
        <v>427</v>
      </c>
      <c r="H90" t="str">
        <f>"03333449600"</f>
        <v>03333449600</v>
      </c>
    </row>
    <row r="91" spans="1:8">
      <c r="A91" t="s">
        <v>423</v>
      </c>
      <c r="B91" t="s">
        <v>428</v>
      </c>
      <c r="D91" t="s">
        <v>429</v>
      </c>
      <c r="E91" t="s">
        <v>280</v>
      </c>
      <c r="F91" t="s">
        <v>430</v>
      </c>
      <c r="G91" t="s">
        <v>431</v>
      </c>
      <c r="H91" t="str">
        <f>"03333449600"</f>
        <v>03333449600</v>
      </c>
    </row>
    <row r="92" spans="1:8">
      <c r="A92" t="s">
        <v>432</v>
      </c>
      <c r="B92" t="s">
        <v>433</v>
      </c>
      <c r="C92" t="s">
        <v>434</v>
      </c>
      <c r="D92" t="s">
        <v>57</v>
      </c>
      <c r="E92" t="s">
        <v>435</v>
      </c>
      <c r="F92" t="s">
        <v>436</v>
      </c>
      <c r="G92" t="s">
        <v>437</v>
      </c>
      <c r="H92" t="str">
        <f>"020 3695 1299"</f>
        <v>020 3695 1299</v>
      </c>
    </row>
    <row r="93" spans="1:8">
      <c r="A93" t="s">
        <v>438</v>
      </c>
      <c r="B93" t="s">
        <v>439</v>
      </c>
      <c r="D93" t="s">
        <v>440</v>
      </c>
      <c r="E93" t="s">
        <v>315</v>
      </c>
      <c r="F93" t="s">
        <v>441</v>
      </c>
      <c r="G93" t="s">
        <v>442</v>
      </c>
      <c r="H93" t="str">
        <f>"01244 400567"</f>
        <v>01244 400567</v>
      </c>
    </row>
    <row r="94" spans="1:8">
      <c r="A94" t="s">
        <v>443</v>
      </c>
      <c r="B94" t="s">
        <v>444</v>
      </c>
      <c r="D94" t="s">
        <v>158</v>
      </c>
      <c r="E94" t="s">
        <v>53</v>
      </c>
      <c r="F94" t="s">
        <v>445</v>
      </c>
      <c r="G94" t="s">
        <v>446</v>
      </c>
      <c r="H94" t="str">
        <f>"01242 472200"</f>
        <v>01242 472200</v>
      </c>
    </row>
    <row r="95" spans="1:8">
      <c r="A95" t="s">
        <v>443</v>
      </c>
      <c r="B95" t="s">
        <v>448</v>
      </c>
      <c r="C95" t="s">
        <v>449</v>
      </c>
      <c r="D95" t="s">
        <v>52</v>
      </c>
      <c r="E95" t="s">
        <v>53</v>
      </c>
      <c r="F95" t="s">
        <v>450</v>
      </c>
      <c r="G95" t="s">
        <v>446</v>
      </c>
      <c r="H95" t="str">
        <f>"01452 442100"</f>
        <v>01452 442100</v>
      </c>
    </row>
    <row r="96" spans="1:8">
      <c r="A96" t="s">
        <v>443</v>
      </c>
      <c r="B96" t="s">
        <v>452</v>
      </c>
      <c r="C96" t="s">
        <v>453</v>
      </c>
      <c r="D96" t="s">
        <v>451</v>
      </c>
      <c r="E96" t="s">
        <v>53</v>
      </c>
      <c r="F96" t="s">
        <v>454</v>
      </c>
      <c r="G96" t="s">
        <v>446</v>
      </c>
      <c r="H96" t="str">
        <f>"01453 700650"</f>
        <v>01453 700650</v>
      </c>
    </row>
    <row r="97" spans="1:8">
      <c r="A97" t="s">
        <v>443</v>
      </c>
      <c r="B97" t="s">
        <v>456</v>
      </c>
      <c r="D97" t="s">
        <v>455</v>
      </c>
      <c r="E97" t="s">
        <v>53</v>
      </c>
      <c r="F97" t="s">
        <v>457</v>
      </c>
      <c r="G97" t="s">
        <v>458</v>
      </c>
      <c r="H97" t="str">
        <f>"01285 701750"</f>
        <v>01285 701750</v>
      </c>
    </row>
    <row r="98" spans="1:8">
      <c r="A98" t="s">
        <v>443</v>
      </c>
      <c r="B98" t="s">
        <v>459</v>
      </c>
      <c r="C98" t="s">
        <v>460</v>
      </c>
      <c r="D98" t="s">
        <v>20</v>
      </c>
      <c r="E98" t="s">
        <v>11</v>
      </c>
      <c r="F98" t="s">
        <v>461</v>
      </c>
      <c r="G98" t="s">
        <v>446</v>
      </c>
      <c r="H98" t="str">
        <f>"01905 670997"</f>
        <v>01905 670997</v>
      </c>
    </row>
    <row r="99" spans="1:8">
      <c r="A99" t="s">
        <v>443</v>
      </c>
      <c r="B99" t="s">
        <v>462</v>
      </c>
      <c r="C99" t="s">
        <v>463</v>
      </c>
      <c r="D99" t="s">
        <v>141</v>
      </c>
      <c r="E99" t="s">
        <v>464</v>
      </c>
      <c r="F99" t="s">
        <v>465</v>
      </c>
      <c r="G99" t="s">
        <v>446</v>
      </c>
      <c r="H99" t="str">
        <f>"01225541770"</f>
        <v>01225541770</v>
      </c>
    </row>
    <row r="100" spans="1:8">
      <c r="A100" t="s">
        <v>443</v>
      </c>
      <c r="B100" t="s">
        <v>467</v>
      </c>
      <c r="C100" t="s">
        <v>468</v>
      </c>
      <c r="D100" t="s">
        <v>466</v>
      </c>
      <c r="E100" t="s">
        <v>53</v>
      </c>
      <c r="F100" t="s">
        <v>469</v>
      </c>
      <c r="G100" t="s">
        <v>446</v>
      </c>
      <c r="H100" t="str">
        <f>"01684647446"</f>
        <v>01684647446</v>
      </c>
    </row>
    <row r="101" spans="1:8">
      <c r="A101" t="s">
        <v>443</v>
      </c>
      <c r="B101" t="s">
        <v>470</v>
      </c>
      <c r="C101" t="s">
        <v>471</v>
      </c>
      <c r="D101" t="s">
        <v>472</v>
      </c>
      <c r="E101" t="s">
        <v>53</v>
      </c>
      <c r="F101" t="s">
        <v>473</v>
      </c>
      <c r="G101" t="s">
        <v>446</v>
      </c>
      <c r="H101" t="str">
        <f>"01451604044"</f>
        <v>01451604044</v>
      </c>
    </row>
    <row r="102" spans="1:8">
      <c r="A102" t="s">
        <v>443</v>
      </c>
      <c r="B102" t="s">
        <v>474</v>
      </c>
      <c r="C102" t="s">
        <v>475</v>
      </c>
      <c r="D102" t="s">
        <v>217</v>
      </c>
      <c r="E102" t="s">
        <v>435</v>
      </c>
      <c r="F102" t="s">
        <v>476</v>
      </c>
      <c r="G102" t="s">
        <v>446</v>
      </c>
      <c r="H102" t="str">
        <f>"01242472200"</f>
        <v>01242472200</v>
      </c>
    </row>
    <row r="103" spans="1:8">
      <c r="A103" t="s">
        <v>443</v>
      </c>
      <c r="B103" t="s">
        <v>477</v>
      </c>
      <c r="C103" t="s">
        <v>57</v>
      </c>
      <c r="D103" t="s">
        <v>435</v>
      </c>
      <c r="F103" t="s">
        <v>478</v>
      </c>
      <c r="G103" t="s">
        <v>446</v>
      </c>
      <c r="H103" t="str">
        <f>"0204 5388704"</f>
        <v>0204 5388704</v>
      </c>
    </row>
    <row r="104" spans="1:8">
      <c r="A104" t="s">
        <v>479</v>
      </c>
      <c r="B104" t="s">
        <v>480</v>
      </c>
      <c r="D104" t="s">
        <v>481</v>
      </c>
      <c r="E104" t="s">
        <v>200</v>
      </c>
      <c r="F104" t="s">
        <v>482</v>
      </c>
      <c r="G104" t="s">
        <v>483</v>
      </c>
      <c r="H104" t="str">
        <f>"01483 579 978"</f>
        <v>01483 579 978</v>
      </c>
    </row>
    <row r="105" spans="1:8">
      <c r="A105" t="s">
        <v>479</v>
      </c>
      <c r="B105" t="s">
        <v>484</v>
      </c>
      <c r="D105" t="s">
        <v>485</v>
      </c>
      <c r="E105" t="s">
        <v>486</v>
      </c>
      <c r="F105" t="s">
        <v>487</v>
      </c>
      <c r="G105" t="s">
        <v>483</v>
      </c>
      <c r="H105" t="str">
        <f>"020 7046 6558"</f>
        <v>020 7046 6558</v>
      </c>
    </row>
    <row r="106" spans="1:8">
      <c r="A106" t="s">
        <v>488</v>
      </c>
      <c r="B106" t="s">
        <v>489</v>
      </c>
      <c r="D106" t="s">
        <v>490</v>
      </c>
      <c r="E106" t="s">
        <v>236</v>
      </c>
      <c r="F106" t="s">
        <v>491</v>
      </c>
      <c r="G106" t="s">
        <v>492</v>
      </c>
      <c r="H106" t="str">
        <f>"01538 383201"</f>
        <v>01538 383201</v>
      </c>
    </row>
    <row r="107" spans="1:8">
      <c r="A107" t="s">
        <v>488</v>
      </c>
      <c r="B107" t="s">
        <v>494</v>
      </c>
      <c r="C107" t="s">
        <v>495</v>
      </c>
      <c r="D107" t="s">
        <v>496</v>
      </c>
      <c r="E107" t="s">
        <v>236</v>
      </c>
      <c r="F107" t="s">
        <v>497</v>
      </c>
      <c r="G107" t="s">
        <v>498</v>
      </c>
      <c r="H107" t="str">
        <f>"01538 754253"</f>
        <v>01538 754253</v>
      </c>
    </row>
    <row r="108" spans="1:8">
      <c r="A108" t="s">
        <v>499</v>
      </c>
      <c r="B108" t="s">
        <v>500</v>
      </c>
      <c r="D108" t="s">
        <v>501</v>
      </c>
      <c r="E108" t="s">
        <v>502</v>
      </c>
      <c r="F108" t="s">
        <v>503</v>
      </c>
      <c r="G108" t="s">
        <v>504</v>
      </c>
      <c r="H108" t="str">
        <f>"01903 234064"</f>
        <v>01903 234064</v>
      </c>
    </row>
    <row r="109" spans="1:8">
      <c r="A109" t="s">
        <v>499</v>
      </c>
      <c r="B109" t="s">
        <v>506</v>
      </c>
      <c r="D109" t="s">
        <v>505</v>
      </c>
      <c r="E109" t="s">
        <v>502</v>
      </c>
      <c r="F109" t="s">
        <v>507</v>
      </c>
      <c r="G109" t="s">
        <v>508</v>
      </c>
      <c r="H109" t="str">
        <f>"01903234064"</f>
        <v>01903234064</v>
      </c>
    </row>
    <row r="110" spans="1:8">
      <c r="A110" t="s">
        <v>499</v>
      </c>
      <c r="B110" t="s">
        <v>510</v>
      </c>
      <c r="D110" t="s">
        <v>509</v>
      </c>
      <c r="E110" t="s">
        <v>502</v>
      </c>
      <c r="F110" t="s">
        <v>511</v>
      </c>
      <c r="G110" t="s">
        <v>512</v>
      </c>
      <c r="H110" t="str">
        <f>"01903881122"</f>
        <v>01903881122</v>
      </c>
    </row>
    <row r="111" spans="1:8">
      <c r="A111" t="s">
        <v>499</v>
      </c>
      <c r="B111" t="s">
        <v>514</v>
      </c>
      <c r="C111" t="s">
        <v>513</v>
      </c>
      <c r="D111" t="s">
        <v>515</v>
      </c>
      <c r="E111" t="s">
        <v>502</v>
      </c>
      <c r="F111" t="s">
        <v>516</v>
      </c>
      <c r="G111" t="s">
        <v>517</v>
      </c>
      <c r="H111" t="str">
        <f>"01903 774131"</f>
        <v>01903 774131</v>
      </c>
    </row>
    <row r="112" spans="1:8">
      <c r="A112" t="s">
        <v>499</v>
      </c>
      <c r="B112" t="s">
        <v>519</v>
      </c>
      <c r="D112" t="s">
        <v>518</v>
      </c>
      <c r="E112" t="s">
        <v>520</v>
      </c>
      <c r="F112" t="s">
        <v>521</v>
      </c>
      <c r="G112" t="s">
        <v>522</v>
      </c>
      <c r="H112" t="str">
        <f>"01273 253500"</f>
        <v>01273 253500</v>
      </c>
    </row>
    <row r="113" spans="1:8">
      <c r="A113" t="s">
        <v>499</v>
      </c>
      <c r="B113" t="s">
        <v>524</v>
      </c>
      <c r="D113" t="s">
        <v>523</v>
      </c>
      <c r="F113" t="s">
        <v>525</v>
      </c>
      <c r="G113" t="s">
        <v>526</v>
      </c>
      <c r="H113" t="str">
        <f>"01903 765991"</f>
        <v>01903 765991</v>
      </c>
    </row>
    <row r="114" spans="1:8">
      <c r="A114" t="s">
        <v>499</v>
      </c>
      <c r="B114" t="s">
        <v>528</v>
      </c>
      <c r="D114" t="s">
        <v>527</v>
      </c>
      <c r="E114" t="s">
        <v>505</v>
      </c>
      <c r="F114" t="s">
        <v>529</v>
      </c>
      <c r="G114" t="s">
        <v>530</v>
      </c>
      <c r="H114" t="str">
        <f>"01903 502155"</f>
        <v>01903 502155</v>
      </c>
    </row>
    <row r="115" spans="1:8">
      <c r="A115" t="s">
        <v>499</v>
      </c>
      <c r="B115" t="s">
        <v>531</v>
      </c>
      <c r="D115" t="s">
        <v>505</v>
      </c>
      <c r="F115" t="s">
        <v>532</v>
      </c>
      <c r="G115" t="s">
        <v>533</v>
      </c>
      <c r="H115" t="str">
        <f>"01903 235002"</f>
        <v>01903 235002</v>
      </c>
    </row>
    <row r="116" spans="1:8">
      <c r="A116" t="s">
        <v>534</v>
      </c>
      <c r="B116" t="s">
        <v>535</v>
      </c>
      <c r="D116" t="s">
        <v>536</v>
      </c>
      <c r="E116" t="s">
        <v>171</v>
      </c>
      <c r="F116" t="s">
        <v>537</v>
      </c>
      <c r="G116" t="s">
        <v>538</v>
      </c>
      <c r="H116" t="str">
        <f>"01892 506126"</f>
        <v>01892 506126</v>
      </c>
    </row>
    <row r="117" spans="1:8">
      <c r="A117" t="s">
        <v>534</v>
      </c>
      <c r="B117" t="s">
        <v>539</v>
      </c>
      <c r="D117" t="s">
        <v>57</v>
      </c>
      <c r="F117" t="s">
        <v>540</v>
      </c>
      <c r="G117" t="s">
        <v>538</v>
      </c>
      <c r="H117" t="str">
        <f>"020 7591 3333"</f>
        <v>020 7591 3333</v>
      </c>
    </row>
    <row r="118" spans="1:8">
      <c r="A118" t="s">
        <v>534</v>
      </c>
      <c r="B118" t="s">
        <v>542</v>
      </c>
      <c r="D118" t="s">
        <v>541</v>
      </c>
      <c r="F118" t="s">
        <v>543</v>
      </c>
      <c r="G118" t="s">
        <v>538</v>
      </c>
      <c r="H118" t="str">
        <f>"01403262333"</f>
        <v>01403262333</v>
      </c>
    </row>
    <row r="119" spans="1:8">
      <c r="A119" t="s">
        <v>544</v>
      </c>
      <c r="B119" t="s">
        <v>545</v>
      </c>
      <c r="C119" t="s">
        <v>546</v>
      </c>
      <c r="D119" t="s">
        <v>308</v>
      </c>
      <c r="E119" t="s">
        <v>309</v>
      </c>
      <c r="F119" t="s">
        <v>547</v>
      </c>
      <c r="G119" t="s">
        <v>548</v>
      </c>
      <c r="H119" t="str">
        <f>"01803202020"</f>
        <v>01803202020</v>
      </c>
    </row>
    <row r="120" spans="1:8">
      <c r="A120" t="s">
        <v>544</v>
      </c>
      <c r="B120" t="s">
        <v>550</v>
      </c>
      <c r="D120" t="s">
        <v>549</v>
      </c>
      <c r="F120" t="s">
        <v>551</v>
      </c>
      <c r="G120" t="s">
        <v>548</v>
      </c>
      <c r="H120" t="str">
        <f>"01392 455 555"</f>
        <v>01392 455 555</v>
      </c>
    </row>
    <row r="121" spans="1:8">
      <c r="A121" t="s">
        <v>544</v>
      </c>
      <c r="B121" t="s">
        <v>553</v>
      </c>
      <c r="C121" t="s">
        <v>554</v>
      </c>
      <c r="D121" t="s">
        <v>555</v>
      </c>
      <c r="E121" t="s">
        <v>309</v>
      </c>
      <c r="F121" t="s">
        <v>556</v>
      </c>
      <c r="G121" t="s">
        <v>548</v>
      </c>
      <c r="H121" t="str">
        <f>"01752603040"</f>
        <v>01752603040</v>
      </c>
    </row>
    <row r="122" spans="1:8">
      <c r="A122" t="s">
        <v>544</v>
      </c>
      <c r="B122" t="s">
        <v>557</v>
      </c>
      <c r="C122" t="s">
        <v>558</v>
      </c>
      <c r="D122" t="s">
        <v>549</v>
      </c>
      <c r="F122" t="s">
        <v>559</v>
      </c>
      <c r="G122" t="s">
        <v>560</v>
      </c>
      <c r="H122" t="str">
        <f>"01392 455555"</f>
        <v>01392 455555</v>
      </c>
    </row>
    <row r="123" spans="1:8">
      <c r="A123" t="s">
        <v>561</v>
      </c>
      <c r="B123" t="s">
        <v>562</v>
      </c>
      <c r="D123" t="s">
        <v>563</v>
      </c>
      <c r="E123" t="s">
        <v>132</v>
      </c>
      <c r="F123" t="s">
        <v>564</v>
      </c>
      <c r="G123" t="s">
        <v>565</v>
      </c>
      <c r="H123" t="str">
        <f>"01612371116"</f>
        <v>01612371116</v>
      </c>
    </row>
    <row r="124" spans="1:8">
      <c r="A124" t="s">
        <v>566</v>
      </c>
      <c r="B124" t="s">
        <v>567</v>
      </c>
      <c r="C124" t="s">
        <v>419</v>
      </c>
      <c r="D124" t="s">
        <v>568</v>
      </c>
      <c r="E124" t="s">
        <v>569</v>
      </c>
      <c r="F124" t="s">
        <v>570</v>
      </c>
      <c r="G124" t="s">
        <v>571</v>
      </c>
      <c r="H124" t="str">
        <f>"01772 369239"</f>
        <v>01772 369239</v>
      </c>
    </row>
    <row r="125" spans="1:8">
      <c r="A125" t="s">
        <v>572</v>
      </c>
      <c r="B125" t="s">
        <v>573</v>
      </c>
      <c r="C125" t="s">
        <v>574</v>
      </c>
      <c r="D125" t="s">
        <v>575</v>
      </c>
      <c r="F125" t="s">
        <v>576</v>
      </c>
      <c r="G125" t="s">
        <v>577</v>
      </c>
      <c r="H125" t="str">
        <f>"01825705180"</f>
        <v>01825705180</v>
      </c>
    </row>
    <row r="126" spans="1:8">
      <c r="A126" t="s">
        <v>572</v>
      </c>
      <c r="B126" t="s">
        <v>578</v>
      </c>
      <c r="C126" t="s">
        <v>579</v>
      </c>
      <c r="D126" t="s">
        <v>580</v>
      </c>
      <c r="F126" t="s">
        <v>581</v>
      </c>
      <c r="G126" t="s">
        <v>582</v>
      </c>
      <c r="H126" t="str">
        <f>"01444 459555"</f>
        <v>01444 459555</v>
      </c>
    </row>
    <row r="127" spans="1:8">
      <c r="A127" t="s">
        <v>572</v>
      </c>
      <c r="B127" t="s">
        <v>583</v>
      </c>
      <c r="D127" t="s">
        <v>584</v>
      </c>
      <c r="F127" t="s">
        <v>585</v>
      </c>
      <c r="G127" t="s">
        <v>577</v>
      </c>
      <c r="H127" t="str">
        <f>"01753 271640"</f>
        <v>01753 271640</v>
      </c>
    </row>
    <row r="128" spans="1:8">
      <c r="A128" t="s">
        <v>572</v>
      </c>
      <c r="B128" t="s">
        <v>586</v>
      </c>
      <c r="D128" t="s">
        <v>587</v>
      </c>
      <c r="F128" t="s">
        <v>588</v>
      </c>
      <c r="G128" t="s">
        <v>582</v>
      </c>
      <c r="H128" t="str">
        <f>"01732 864411"</f>
        <v>01732 864411</v>
      </c>
    </row>
    <row r="129" spans="1:8">
      <c r="A129" t="s">
        <v>572</v>
      </c>
      <c r="B129" t="s">
        <v>589</v>
      </c>
      <c r="D129" t="s">
        <v>590</v>
      </c>
      <c r="F129" t="s">
        <v>591</v>
      </c>
      <c r="G129" t="s">
        <v>582</v>
      </c>
      <c r="H129" t="str">
        <f>"020 8643 7221"</f>
        <v>020 8643 7221</v>
      </c>
    </row>
    <row r="130" spans="1:8">
      <c r="A130" t="s">
        <v>572</v>
      </c>
      <c r="B130" t="s">
        <v>592</v>
      </c>
      <c r="D130" t="s">
        <v>593</v>
      </c>
      <c r="F130" t="s">
        <v>594</v>
      </c>
      <c r="G130" t="s">
        <v>582</v>
      </c>
      <c r="H130" t="str">
        <f>"01737 362131"</f>
        <v>01737 362131</v>
      </c>
    </row>
    <row r="131" spans="1:8">
      <c r="A131" t="s">
        <v>572</v>
      </c>
      <c r="B131" t="s">
        <v>595</v>
      </c>
      <c r="D131" t="s">
        <v>152</v>
      </c>
      <c r="F131" t="s">
        <v>596</v>
      </c>
      <c r="G131" t="s">
        <v>582</v>
      </c>
      <c r="H131" t="str">
        <f>"0118 958 1578"</f>
        <v>0118 958 1578</v>
      </c>
    </row>
    <row r="132" spans="1:8">
      <c r="A132" t="s">
        <v>597</v>
      </c>
      <c r="B132" t="s">
        <v>598</v>
      </c>
      <c r="D132" t="s">
        <v>226</v>
      </c>
      <c r="F132" t="s">
        <v>599</v>
      </c>
      <c r="G132" t="s">
        <v>600</v>
      </c>
      <c r="H132" t="str">
        <f>"01302 347800"</f>
        <v>01302 347800</v>
      </c>
    </row>
    <row r="133" spans="1:8">
      <c r="A133" t="s">
        <v>597</v>
      </c>
      <c r="B133" t="s">
        <v>601</v>
      </c>
      <c r="C133" t="s">
        <v>602</v>
      </c>
      <c r="D133" t="s">
        <v>226</v>
      </c>
      <c r="F133" t="s">
        <v>603</v>
      </c>
      <c r="G133" t="s">
        <v>604</v>
      </c>
      <c r="H133" t="str">
        <f>"01427872206"</f>
        <v>01427872206</v>
      </c>
    </row>
    <row r="134" spans="1:8">
      <c r="A134" t="s">
        <v>597</v>
      </c>
      <c r="B134" t="s">
        <v>605</v>
      </c>
      <c r="D134" t="s">
        <v>606</v>
      </c>
      <c r="F134" t="s">
        <v>607</v>
      </c>
      <c r="G134" t="s">
        <v>608</v>
      </c>
      <c r="H134" t="str">
        <f>"01427613831"</f>
        <v>01427613831</v>
      </c>
    </row>
    <row r="135" spans="1:8">
      <c r="A135" t="s">
        <v>597</v>
      </c>
      <c r="B135" t="s">
        <v>609</v>
      </c>
      <c r="D135" t="s">
        <v>610</v>
      </c>
      <c r="F135" t="s">
        <v>611</v>
      </c>
      <c r="G135" t="s">
        <v>600</v>
      </c>
      <c r="H135" t="str">
        <f>"01709587538"</f>
        <v>01709587538</v>
      </c>
    </row>
    <row r="136" spans="1:8">
      <c r="A136" t="s">
        <v>612</v>
      </c>
      <c r="B136" t="s">
        <v>613</v>
      </c>
      <c r="C136" t="s">
        <v>614</v>
      </c>
      <c r="D136" t="s">
        <v>615</v>
      </c>
      <c r="E136" t="s">
        <v>616</v>
      </c>
      <c r="F136" t="s">
        <v>617</v>
      </c>
      <c r="G136" t="s">
        <v>618</v>
      </c>
      <c r="H136" t="str">
        <f>"01904 528200"</f>
        <v>01904 528200</v>
      </c>
    </row>
    <row r="137" spans="1:8">
      <c r="A137" t="s">
        <v>612</v>
      </c>
      <c r="B137" t="s">
        <v>620</v>
      </c>
      <c r="D137" t="s">
        <v>619</v>
      </c>
      <c r="E137" t="s">
        <v>616</v>
      </c>
      <c r="F137" t="s">
        <v>621</v>
      </c>
      <c r="G137" t="s">
        <v>618</v>
      </c>
      <c r="H137" t="str">
        <f>"01423 322940"</f>
        <v>01423 322940</v>
      </c>
    </row>
    <row r="138" spans="1:8">
      <c r="A138" t="s">
        <v>622</v>
      </c>
      <c r="B138" t="s">
        <v>623</v>
      </c>
      <c r="D138" t="s">
        <v>624</v>
      </c>
      <c r="E138" t="s">
        <v>410</v>
      </c>
      <c r="F138" t="s">
        <v>625</v>
      </c>
      <c r="G138" t="s">
        <v>626</v>
      </c>
      <c r="H138" t="str">
        <f>"01909 480066"</f>
        <v>01909 480066</v>
      </c>
    </row>
    <row r="139" spans="1:8">
      <c r="A139" t="s">
        <v>622</v>
      </c>
      <c r="B139" t="s">
        <v>628</v>
      </c>
      <c r="D139" t="s">
        <v>627</v>
      </c>
      <c r="E139" t="s">
        <v>410</v>
      </c>
      <c r="F139" t="s">
        <v>629</v>
      </c>
      <c r="G139" t="s">
        <v>626</v>
      </c>
      <c r="H139" t="str">
        <f>"01777 703111"</f>
        <v>01777 703111</v>
      </c>
    </row>
    <row r="140" spans="1:8">
      <c r="A140" t="s">
        <v>622</v>
      </c>
      <c r="B140" t="s">
        <v>630</v>
      </c>
      <c r="D140" t="s">
        <v>409</v>
      </c>
      <c r="E140" t="s">
        <v>410</v>
      </c>
      <c r="F140" t="s">
        <v>631</v>
      </c>
      <c r="G140" t="s">
        <v>626</v>
      </c>
      <c r="H140" t="str">
        <f>"0115 948 7811"</f>
        <v>0115 948 7811</v>
      </c>
    </row>
    <row r="141" spans="1:8">
      <c r="A141" t="s">
        <v>632</v>
      </c>
      <c r="B141" t="s">
        <v>633</v>
      </c>
      <c r="C141" t="s">
        <v>634</v>
      </c>
      <c r="D141" t="s">
        <v>52</v>
      </c>
      <c r="F141" t="s">
        <v>635</v>
      </c>
      <c r="G141" t="s">
        <v>636</v>
      </c>
      <c r="H141" t="str">
        <f>"01452 522047"</f>
        <v>01452 522047</v>
      </c>
    </row>
    <row r="142" spans="1:8">
      <c r="A142" t="s">
        <v>637</v>
      </c>
      <c r="B142" t="s">
        <v>638</v>
      </c>
      <c r="D142" t="s">
        <v>639</v>
      </c>
      <c r="E142" t="s">
        <v>315</v>
      </c>
      <c r="F142" t="s">
        <v>640</v>
      </c>
      <c r="G142" t="s">
        <v>641</v>
      </c>
      <c r="H142" t="str">
        <f>"01270 876550"</f>
        <v>01270 876550</v>
      </c>
    </row>
    <row r="143" spans="1:8">
      <c r="A143" t="s">
        <v>637</v>
      </c>
      <c r="B143" t="s">
        <v>642</v>
      </c>
      <c r="D143" t="s">
        <v>314</v>
      </c>
      <c r="E143" t="s">
        <v>315</v>
      </c>
      <c r="F143" t="s">
        <v>643</v>
      </c>
      <c r="G143" t="s">
        <v>641</v>
      </c>
      <c r="H143" t="str">
        <f>"01270 625478"</f>
        <v>01270 625478</v>
      </c>
    </row>
    <row r="144" spans="1:8">
      <c r="A144" t="s">
        <v>637</v>
      </c>
      <c r="B144" t="s">
        <v>644</v>
      </c>
      <c r="C144" t="s">
        <v>645</v>
      </c>
      <c r="D144" t="s">
        <v>646</v>
      </c>
      <c r="E144" t="s">
        <v>315</v>
      </c>
      <c r="F144" t="s">
        <v>647</v>
      </c>
      <c r="G144" t="s">
        <v>641</v>
      </c>
      <c r="H144" t="str">
        <f>"01260 275337"</f>
        <v>01260 275337</v>
      </c>
    </row>
    <row r="145" spans="1:8">
      <c r="A145" t="s">
        <v>637</v>
      </c>
      <c r="B145" t="s">
        <v>648</v>
      </c>
      <c r="D145" t="s">
        <v>649</v>
      </c>
      <c r="E145" t="s">
        <v>315</v>
      </c>
      <c r="F145" t="s">
        <v>650</v>
      </c>
      <c r="G145" t="s">
        <v>641</v>
      </c>
      <c r="H145" t="str">
        <f>"01270 762325"</f>
        <v>01270 762325</v>
      </c>
    </row>
    <row r="146" spans="1:8">
      <c r="A146" t="s">
        <v>637</v>
      </c>
      <c r="B146" t="s">
        <v>651</v>
      </c>
      <c r="D146" t="s">
        <v>319</v>
      </c>
      <c r="E146" t="s">
        <v>315</v>
      </c>
      <c r="F146" t="s">
        <v>652</v>
      </c>
      <c r="G146" t="s">
        <v>641</v>
      </c>
      <c r="H146" t="str">
        <f>"01270 653170"</f>
        <v>01270 653170</v>
      </c>
    </row>
    <row r="147" spans="1:8">
      <c r="A147" t="s">
        <v>637</v>
      </c>
      <c r="B147" t="s">
        <v>653</v>
      </c>
      <c r="D147" t="s">
        <v>654</v>
      </c>
      <c r="E147" t="s">
        <v>315</v>
      </c>
      <c r="F147" t="s">
        <v>655</v>
      </c>
      <c r="G147" t="s">
        <v>641</v>
      </c>
      <c r="H147" t="str">
        <f>"01625 380 060"</f>
        <v>01625 380 060</v>
      </c>
    </row>
    <row r="148" spans="1:8">
      <c r="A148" t="s">
        <v>637</v>
      </c>
      <c r="B148" t="s">
        <v>656</v>
      </c>
      <c r="C148" t="s">
        <v>657</v>
      </c>
      <c r="D148" t="s">
        <v>658</v>
      </c>
      <c r="E148" t="s">
        <v>315</v>
      </c>
      <c r="F148" t="s">
        <v>659</v>
      </c>
      <c r="G148" t="s">
        <v>641</v>
      </c>
      <c r="H148" t="str">
        <f>"01606 663989"</f>
        <v>01606 663989</v>
      </c>
    </row>
    <row r="149" spans="1:8">
      <c r="A149" t="s">
        <v>660</v>
      </c>
      <c r="B149" t="s">
        <v>661</v>
      </c>
      <c r="D149" t="s">
        <v>662</v>
      </c>
      <c r="E149" t="s">
        <v>663</v>
      </c>
      <c r="F149" t="s">
        <v>664</v>
      </c>
      <c r="G149" t="s">
        <v>665</v>
      </c>
      <c r="H149" t="str">
        <f>"01244312306"</f>
        <v>01244312306</v>
      </c>
    </row>
    <row r="150" spans="1:8">
      <c r="A150" t="s">
        <v>666</v>
      </c>
      <c r="B150" t="s">
        <v>667</v>
      </c>
      <c r="D150" t="s">
        <v>668</v>
      </c>
      <c r="E150" t="s">
        <v>669</v>
      </c>
      <c r="F150" t="s">
        <v>670</v>
      </c>
      <c r="G150" t="s">
        <v>671</v>
      </c>
      <c r="H150" t="str">
        <f>"01642630394"</f>
        <v>01642630394</v>
      </c>
    </row>
    <row r="151" spans="1:8">
      <c r="A151" t="s">
        <v>666</v>
      </c>
      <c r="B151" t="s">
        <v>673</v>
      </c>
      <c r="C151" t="s">
        <v>672</v>
      </c>
      <c r="D151" t="s">
        <v>674</v>
      </c>
      <c r="F151" t="s">
        <v>675</v>
      </c>
      <c r="G151" t="s">
        <v>676</v>
      </c>
      <c r="H151" t="str">
        <f>"01274508445"</f>
        <v>01274508445</v>
      </c>
    </row>
    <row r="152" spans="1:8">
      <c r="A152" t="s">
        <v>666</v>
      </c>
      <c r="B152" t="s">
        <v>678</v>
      </c>
      <c r="C152" t="s">
        <v>679</v>
      </c>
      <c r="D152" t="s">
        <v>680</v>
      </c>
      <c r="F152" t="s">
        <v>681</v>
      </c>
      <c r="G152" t="s">
        <v>682</v>
      </c>
      <c r="H152" t="str">
        <f>"01937547090"</f>
        <v>01937547090</v>
      </c>
    </row>
    <row r="153" spans="1:8">
      <c r="A153" t="s">
        <v>666</v>
      </c>
      <c r="B153" t="s">
        <v>684</v>
      </c>
      <c r="C153" t="s">
        <v>685</v>
      </c>
      <c r="D153" t="s">
        <v>683</v>
      </c>
      <c r="F153" t="s">
        <v>686</v>
      </c>
      <c r="G153" t="s">
        <v>687</v>
      </c>
      <c r="H153" t="str">
        <f>"0191 567 0101"</f>
        <v>0191 567 0101</v>
      </c>
    </row>
    <row r="154" spans="1:8">
      <c r="A154" t="s">
        <v>688</v>
      </c>
      <c r="B154" t="s">
        <v>689</v>
      </c>
      <c r="C154" t="s">
        <v>690</v>
      </c>
      <c r="D154" t="s">
        <v>691</v>
      </c>
      <c r="E154" t="s">
        <v>692</v>
      </c>
      <c r="F154" t="s">
        <v>693</v>
      </c>
      <c r="G154" t="s">
        <v>694</v>
      </c>
      <c r="H154" t="str">
        <f>"0204 519 0676"</f>
        <v>0204 519 0676</v>
      </c>
    </row>
    <row r="155" spans="1:8">
      <c r="A155" t="s">
        <v>695</v>
      </c>
      <c r="B155" t="s">
        <v>696</v>
      </c>
      <c r="D155" t="s">
        <v>697</v>
      </c>
      <c r="E155" t="s">
        <v>698</v>
      </c>
      <c r="F155" t="s">
        <v>699</v>
      </c>
      <c r="G155" t="s">
        <v>700</v>
      </c>
      <c r="H155" t="str">
        <f>"01225 703036"</f>
        <v>01225 703036</v>
      </c>
    </row>
    <row r="156" spans="1:8">
      <c r="A156" t="s">
        <v>695</v>
      </c>
      <c r="B156" t="s">
        <v>702</v>
      </c>
      <c r="D156" t="s">
        <v>701</v>
      </c>
      <c r="E156" t="s">
        <v>703</v>
      </c>
      <c r="F156" t="s">
        <v>704</v>
      </c>
      <c r="G156" t="s">
        <v>700</v>
      </c>
      <c r="H156" t="str">
        <f>"01249 812086"</f>
        <v>01249 812086</v>
      </c>
    </row>
    <row r="157" spans="1:8">
      <c r="A157" t="s">
        <v>695</v>
      </c>
      <c r="B157" t="s">
        <v>706</v>
      </c>
      <c r="C157" t="s">
        <v>707</v>
      </c>
      <c r="D157" t="s">
        <v>705</v>
      </c>
      <c r="E157" t="s">
        <v>703</v>
      </c>
      <c r="F157" t="s">
        <v>708</v>
      </c>
      <c r="G157" t="s">
        <v>700</v>
      </c>
      <c r="H157" t="str">
        <f>"01249 444499"</f>
        <v>01249 444499</v>
      </c>
    </row>
    <row r="158" spans="1:8">
      <c r="A158" t="s">
        <v>695</v>
      </c>
      <c r="B158" t="s">
        <v>710</v>
      </c>
      <c r="D158" t="s">
        <v>709</v>
      </c>
      <c r="E158" t="s">
        <v>703</v>
      </c>
      <c r="F158" t="s">
        <v>711</v>
      </c>
      <c r="G158" t="s">
        <v>700</v>
      </c>
      <c r="H158" t="str">
        <f>"01249 712193"</f>
        <v>01249 712193</v>
      </c>
    </row>
    <row r="159" spans="1:8">
      <c r="A159" t="s">
        <v>695</v>
      </c>
      <c r="B159" t="s">
        <v>713</v>
      </c>
      <c r="C159" t="s">
        <v>714</v>
      </c>
      <c r="D159" t="s">
        <v>712</v>
      </c>
      <c r="E159" t="s">
        <v>703</v>
      </c>
      <c r="F159" t="s">
        <v>715</v>
      </c>
      <c r="G159" t="s">
        <v>700</v>
      </c>
      <c r="H159" t="str">
        <f>"01380726913"</f>
        <v>01380726913</v>
      </c>
    </row>
    <row r="160" spans="1:8">
      <c r="A160" t="s">
        <v>695</v>
      </c>
      <c r="B160" t="s">
        <v>717</v>
      </c>
      <c r="D160" t="s">
        <v>716</v>
      </c>
      <c r="E160" t="s">
        <v>703</v>
      </c>
      <c r="F160" t="s">
        <v>718</v>
      </c>
      <c r="G160" t="s">
        <v>700</v>
      </c>
      <c r="H160" t="str">
        <f>"01225 762683"</f>
        <v>01225 762683</v>
      </c>
    </row>
    <row r="161" spans="1:8">
      <c r="A161" t="s">
        <v>695</v>
      </c>
      <c r="B161" t="s">
        <v>719</v>
      </c>
      <c r="C161" t="s">
        <v>720</v>
      </c>
      <c r="D161" t="s">
        <v>705</v>
      </c>
      <c r="E161" t="s">
        <v>703</v>
      </c>
      <c r="F161" t="s">
        <v>721</v>
      </c>
      <c r="G161" t="s">
        <v>700</v>
      </c>
      <c r="H161" t="str">
        <f>"01249 475880"</f>
        <v>01249 475880</v>
      </c>
    </row>
    <row r="162" spans="1:8">
      <c r="A162" t="s">
        <v>722</v>
      </c>
      <c r="B162" t="s">
        <v>723</v>
      </c>
      <c r="C162" t="s">
        <v>724</v>
      </c>
      <c r="D162" t="s">
        <v>297</v>
      </c>
      <c r="E162" t="s">
        <v>132</v>
      </c>
      <c r="F162" t="s">
        <v>725</v>
      </c>
      <c r="G162" t="s">
        <v>726</v>
      </c>
      <c r="H162" t="str">
        <f>"0161 434 9991"</f>
        <v>0161 434 9991</v>
      </c>
    </row>
    <row r="163" spans="1:8">
      <c r="A163" t="s">
        <v>727</v>
      </c>
      <c r="B163" t="s">
        <v>728</v>
      </c>
      <c r="D163" t="s">
        <v>729</v>
      </c>
      <c r="E163" t="s">
        <v>730</v>
      </c>
      <c r="F163" t="s">
        <v>731</v>
      </c>
      <c r="G163" t="s">
        <v>732</v>
      </c>
      <c r="H163" t="str">
        <f>"01670334410"</f>
        <v>01670334410</v>
      </c>
    </row>
    <row r="164" spans="1:8">
      <c r="A164" t="s">
        <v>733</v>
      </c>
      <c r="B164" t="s">
        <v>734</v>
      </c>
      <c r="D164" t="s">
        <v>735</v>
      </c>
      <c r="E164" t="s">
        <v>736</v>
      </c>
      <c r="F164" t="s">
        <v>737</v>
      </c>
      <c r="G164" t="s">
        <v>738</v>
      </c>
      <c r="H164" t="str">
        <f>"01255 433996"</f>
        <v>01255 433996</v>
      </c>
    </row>
    <row r="165" spans="1:8">
      <c r="A165" t="s">
        <v>739</v>
      </c>
      <c r="B165" t="s">
        <v>740</v>
      </c>
      <c r="D165" t="s">
        <v>741</v>
      </c>
      <c r="E165" t="s">
        <v>742</v>
      </c>
      <c r="F165" t="s">
        <v>743</v>
      </c>
      <c r="G165" t="s">
        <v>744</v>
      </c>
      <c r="H165" t="str">
        <f>"01603 660811"</f>
        <v>01603 660811</v>
      </c>
    </row>
    <row r="166" spans="1:8">
      <c r="A166" t="s">
        <v>745</v>
      </c>
      <c r="B166" t="s">
        <v>746</v>
      </c>
      <c r="D166" t="s">
        <v>747</v>
      </c>
      <c r="E166" t="s">
        <v>153</v>
      </c>
      <c r="F166" t="s">
        <v>748</v>
      </c>
      <c r="G166" t="s">
        <v>749</v>
      </c>
      <c r="H166" t="str">
        <f>"01628 563780"</f>
        <v>01628 563780</v>
      </c>
    </row>
    <row r="167" spans="1:8">
      <c r="A167" t="s">
        <v>750</v>
      </c>
      <c r="B167" t="s">
        <v>751</v>
      </c>
      <c r="C167" t="s">
        <v>752</v>
      </c>
      <c r="D167" t="s">
        <v>753</v>
      </c>
      <c r="E167" t="s">
        <v>754</v>
      </c>
      <c r="F167" t="s">
        <v>755</v>
      </c>
      <c r="G167" t="s">
        <v>756</v>
      </c>
      <c r="H167" t="str">
        <f>"01443 565693"</f>
        <v>01443 565693</v>
      </c>
    </row>
    <row r="168" spans="1:8">
      <c r="A168" t="s">
        <v>757</v>
      </c>
      <c r="B168" t="s">
        <v>758</v>
      </c>
      <c r="D168" t="s">
        <v>759</v>
      </c>
      <c r="E168" t="s">
        <v>760</v>
      </c>
      <c r="F168" t="s">
        <v>761</v>
      </c>
      <c r="G168" t="s">
        <v>762</v>
      </c>
      <c r="H168" t="str">
        <f>"01491 572138"</f>
        <v>01491 572138</v>
      </c>
    </row>
    <row r="169" spans="1:8">
      <c r="A169" t="s">
        <v>763</v>
      </c>
      <c r="B169" t="s">
        <v>764</v>
      </c>
      <c r="C169" t="s">
        <v>765</v>
      </c>
      <c r="D169" t="s">
        <v>766</v>
      </c>
      <c r="E169" t="s">
        <v>132</v>
      </c>
      <c r="F169" t="s">
        <v>767</v>
      </c>
      <c r="G169" t="s">
        <v>768</v>
      </c>
      <c r="H169" t="str">
        <f>"01204 377600"</f>
        <v>01204 377600</v>
      </c>
    </row>
    <row r="170" spans="1:8">
      <c r="A170" t="s">
        <v>763</v>
      </c>
      <c r="B170" t="s">
        <v>769</v>
      </c>
      <c r="D170" t="s">
        <v>770</v>
      </c>
      <c r="E170" t="s">
        <v>132</v>
      </c>
      <c r="F170" t="s">
        <v>771</v>
      </c>
      <c r="G170" t="s">
        <v>768</v>
      </c>
      <c r="H170" t="str">
        <f>"0161 359 3880"</f>
        <v>0161 359 3880</v>
      </c>
    </row>
    <row r="171" spans="1:8">
      <c r="A171" t="s">
        <v>772</v>
      </c>
      <c r="B171" t="s">
        <v>773</v>
      </c>
      <c r="D171" t="s">
        <v>774</v>
      </c>
      <c r="E171" t="s">
        <v>775</v>
      </c>
      <c r="F171" t="s">
        <v>776</v>
      </c>
      <c r="G171" t="s">
        <v>777</v>
      </c>
      <c r="H171" t="str">
        <f>"0116 2426028"</f>
        <v>0116 2426028</v>
      </c>
    </row>
    <row r="172" spans="1:8">
      <c r="A172" t="s">
        <v>772</v>
      </c>
      <c r="B172" t="s">
        <v>779</v>
      </c>
      <c r="C172" t="s">
        <v>778</v>
      </c>
      <c r="E172" t="s">
        <v>775</v>
      </c>
      <c r="F172" t="s">
        <v>780</v>
      </c>
      <c r="G172" t="s">
        <v>777</v>
      </c>
      <c r="H172" t="str">
        <f>"0116 2426039"</f>
        <v>0116 2426039</v>
      </c>
    </row>
    <row r="173" spans="1:8">
      <c r="A173" t="s">
        <v>772</v>
      </c>
      <c r="B173" t="s">
        <v>782</v>
      </c>
      <c r="D173" t="s">
        <v>781</v>
      </c>
      <c r="E173" t="s">
        <v>775</v>
      </c>
      <c r="F173" t="s">
        <v>783</v>
      </c>
      <c r="G173" t="s">
        <v>784</v>
      </c>
      <c r="H173" t="str">
        <f>"0116 242 6045"</f>
        <v>0116 242 6045</v>
      </c>
    </row>
    <row r="174" spans="1:8">
      <c r="A174" t="s">
        <v>772</v>
      </c>
      <c r="B174" t="s">
        <v>786</v>
      </c>
      <c r="D174" t="s">
        <v>785</v>
      </c>
      <c r="E174" t="s">
        <v>775</v>
      </c>
      <c r="F174" t="s">
        <v>787</v>
      </c>
      <c r="G174" t="s">
        <v>788</v>
      </c>
      <c r="H174" t="str">
        <f>"0116 242 6036 "</f>
        <v xml:space="preserve">0116 242 6036 </v>
      </c>
    </row>
    <row r="175" spans="1:8">
      <c r="A175" t="s">
        <v>772</v>
      </c>
      <c r="B175" t="s">
        <v>790</v>
      </c>
      <c r="C175" t="s">
        <v>789</v>
      </c>
      <c r="D175" t="s">
        <v>774</v>
      </c>
      <c r="E175" t="s">
        <v>775</v>
      </c>
      <c r="F175" t="s">
        <v>791</v>
      </c>
      <c r="G175" t="s">
        <v>792</v>
      </c>
      <c r="H175" t="str">
        <f>"01162426021"</f>
        <v>01162426021</v>
      </c>
    </row>
    <row r="176" spans="1:8">
      <c r="A176" t="s">
        <v>772</v>
      </c>
      <c r="B176" t="s">
        <v>794</v>
      </c>
      <c r="D176" t="s">
        <v>793</v>
      </c>
      <c r="E176" t="s">
        <v>775</v>
      </c>
      <c r="F176" t="s">
        <v>795</v>
      </c>
      <c r="G176" t="s">
        <v>796</v>
      </c>
      <c r="H176" t="str">
        <f>"01455556321"</f>
        <v>01455556321</v>
      </c>
    </row>
    <row r="177" spans="1:8">
      <c r="A177" t="s">
        <v>797</v>
      </c>
      <c r="B177" t="s">
        <v>798</v>
      </c>
      <c r="D177" t="s">
        <v>799</v>
      </c>
      <c r="E177" t="s">
        <v>200</v>
      </c>
      <c r="F177" t="s">
        <v>800</v>
      </c>
      <c r="G177" t="s">
        <v>801</v>
      </c>
      <c r="H177" t="str">
        <f>"03337727736"</f>
        <v>03337727736</v>
      </c>
    </row>
    <row r="178" spans="1:8">
      <c r="A178" t="s">
        <v>802</v>
      </c>
      <c r="B178" t="s">
        <v>803</v>
      </c>
      <c r="D178" t="s">
        <v>88</v>
      </c>
      <c r="F178" t="s">
        <v>804</v>
      </c>
      <c r="G178" t="s">
        <v>805</v>
      </c>
      <c r="H178" t="str">
        <f>"01323401401"</f>
        <v>01323401401</v>
      </c>
    </row>
    <row r="179" spans="1:8">
      <c r="A179" t="s">
        <v>806</v>
      </c>
      <c r="B179" t="s">
        <v>807</v>
      </c>
      <c r="D179" t="s">
        <v>808</v>
      </c>
      <c r="E179" t="s">
        <v>132</v>
      </c>
      <c r="F179" t="s">
        <v>809</v>
      </c>
      <c r="G179" t="s">
        <v>810</v>
      </c>
      <c r="H179" t="str">
        <f>"01254 872272"</f>
        <v>01254 872272</v>
      </c>
    </row>
    <row r="180" spans="1:8">
      <c r="A180" t="s">
        <v>811</v>
      </c>
      <c r="B180" t="s">
        <v>812</v>
      </c>
      <c r="D180" t="s">
        <v>813</v>
      </c>
      <c r="E180" t="s">
        <v>814</v>
      </c>
      <c r="F180" t="s">
        <v>815</v>
      </c>
      <c r="G180" t="s">
        <v>816</v>
      </c>
      <c r="H180" t="str">
        <f>"01423 538111 "</f>
        <v xml:space="preserve">01423 538111 </v>
      </c>
    </row>
    <row r="181" spans="1:8">
      <c r="A181" t="s">
        <v>817</v>
      </c>
      <c r="B181" t="s">
        <v>818</v>
      </c>
      <c r="C181" t="s">
        <v>819</v>
      </c>
      <c r="D181" t="s">
        <v>820</v>
      </c>
      <c r="E181" t="s">
        <v>821</v>
      </c>
      <c r="F181" t="s">
        <v>822</v>
      </c>
      <c r="G181" t="s">
        <v>823</v>
      </c>
      <c r="H181" t="str">
        <f>"0161 772 4500"</f>
        <v>0161 772 4500</v>
      </c>
    </row>
    <row r="182" spans="1:8">
      <c r="A182" t="s">
        <v>824</v>
      </c>
      <c r="B182" t="s">
        <v>825</v>
      </c>
      <c r="D182" t="s">
        <v>61</v>
      </c>
      <c r="F182" t="s">
        <v>826</v>
      </c>
      <c r="G182" t="s">
        <v>827</v>
      </c>
      <c r="H182" t="str">
        <f>"0300 180 0345"</f>
        <v>0300 180 0345</v>
      </c>
    </row>
    <row r="183" spans="1:8">
      <c r="A183" t="s">
        <v>828</v>
      </c>
      <c r="B183" t="s">
        <v>829</v>
      </c>
      <c r="D183" t="s">
        <v>830</v>
      </c>
      <c r="F183" t="s">
        <v>831</v>
      </c>
      <c r="G183" t="s">
        <v>832</v>
      </c>
      <c r="H183" t="str">
        <f>"01702680880"</f>
        <v>01702680880</v>
      </c>
    </row>
    <row r="184" spans="1:8">
      <c r="A184" t="s">
        <v>833</v>
      </c>
      <c r="B184" t="s">
        <v>834</v>
      </c>
      <c r="D184" t="s">
        <v>835</v>
      </c>
      <c r="F184" t="s">
        <v>836</v>
      </c>
      <c r="G184" t="s">
        <v>837</v>
      </c>
      <c r="H184" t="str">
        <f>"01253 362500"</f>
        <v>01253 362500</v>
      </c>
    </row>
    <row r="185" spans="1:8">
      <c r="A185" t="s">
        <v>838</v>
      </c>
      <c r="B185" t="s">
        <v>839</v>
      </c>
      <c r="C185" t="s">
        <v>840</v>
      </c>
      <c r="D185" t="s">
        <v>741</v>
      </c>
      <c r="F185" t="s">
        <v>841</v>
      </c>
      <c r="G185" t="s">
        <v>842</v>
      </c>
      <c r="H185" t="str">
        <f>"01603972470"</f>
        <v>01603972470</v>
      </c>
    </row>
    <row r="186" spans="1:8">
      <c r="A186" t="s">
        <v>843</v>
      </c>
      <c r="B186" t="s">
        <v>844</v>
      </c>
      <c r="D186" t="s">
        <v>845</v>
      </c>
      <c r="E186" t="s">
        <v>846</v>
      </c>
      <c r="F186" t="s">
        <v>847</v>
      </c>
      <c r="G186" t="s">
        <v>848</v>
      </c>
      <c r="H186" t="str">
        <f>"01256 460830"</f>
        <v>01256 460830</v>
      </c>
    </row>
    <row r="187" spans="1:8">
      <c r="A187" t="s">
        <v>843</v>
      </c>
      <c r="B187" t="s">
        <v>850</v>
      </c>
      <c r="D187" t="s">
        <v>849</v>
      </c>
      <c r="F187" t="s">
        <v>851</v>
      </c>
      <c r="G187" t="s">
        <v>852</v>
      </c>
      <c r="H187" t="str">
        <f>"01252 541 633 "</f>
        <v xml:space="preserve">01252 541 633 </v>
      </c>
    </row>
    <row r="188" spans="1:8">
      <c r="A188" t="s">
        <v>843</v>
      </c>
      <c r="B188" t="s">
        <v>854</v>
      </c>
      <c r="D188" t="s">
        <v>853</v>
      </c>
      <c r="F188" t="s">
        <v>855</v>
      </c>
      <c r="G188" t="s">
        <v>856</v>
      </c>
      <c r="H188" t="str">
        <f>"01252 872617"</f>
        <v>01252 872617</v>
      </c>
    </row>
    <row r="189" spans="1:8">
      <c r="A189" t="s">
        <v>857</v>
      </c>
      <c r="B189" t="s">
        <v>858</v>
      </c>
      <c r="C189" t="s">
        <v>859</v>
      </c>
      <c r="D189" t="s">
        <v>124</v>
      </c>
      <c r="E189" t="s">
        <v>121</v>
      </c>
      <c r="F189" t="s">
        <v>860</v>
      </c>
      <c r="G189" t="s">
        <v>861</v>
      </c>
      <c r="H189" t="str">
        <f>"023 80218000"</f>
        <v>023 80218000</v>
      </c>
    </row>
    <row r="190" spans="1:8">
      <c r="A190" t="s">
        <v>857</v>
      </c>
      <c r="B190" t="s">
        <v>863</v>
      </c>
      <c r="C190" t="s">
        <v>862</v>
      </c>
      <c r="D190" t="s">
        <v>124</v>
      </c>
      <c r="E190" t="s">
        <v>121</v>
      </c>
      <c r="F190" t="s">
        <v>864</v>
      </c>
      <c r="G190" t="s">
        <v>861</v>
      </c>
      <c r="H190" t="str">
        <f>"02380 425000"</f>
        <v>02380 425000</v>
      </c>
    </row>
    <row r="191" spans="1:8">
      <c r="A191" t="s">
        <v>857</v>
      </c>
      <c r="B191" t="s">
        <v>866</v>
      </c>
      <c r="C191" t="s">
        <v>865</v>
      </c>
      <c r="E191" t="s">
        <v>121</v>
      </c>
      <c r="F191" t="s">
        <v>867</v>
      </c>
      <c r="G191" t="s">
        <v>861</v>
      </c>
      <c r="H191" t="str">
        <f>"023 80254676"</f>
        <v>023 80254676</v>
      </c>
    </row>
    <row r="192" spans="1:8">
      <c r="A192" t="s">
        <v>857</v>
      </c>
      <c r="B192" t="s">
        <v>869</v>
      </c>
      <c r="D192" t="s">
        <v>868</v>
      </c>
      <c r="E192" t="s">
        <v>121</v>
      </c>
      <c r="F192" t="s">
        <v>870</v>
      </c>
      <c r="G192" t="s">
        <v>861</v>
      </c>
      <c r="H192" t="str">
        <f>"02380 218000"</f>
        <v>02380 218000</v>
      </c>
    </row>
    <row r="193" spans="1:8">
      <c r="A193" t="s">
        <v>857</v>
      </c>
      <c r="B193" t="s">
        <v>872</v>
      </c>
      <c r="D193" t="s">
        <v>871</v>
      </c>
      <c r="E193" t="s">
        <v>121</v>
      </c>
      <c r="F193" t="s">
        <v>873</v>
      </c>
      <c r="G193" t="s">
        <v>861</v>
      </c>
      <c r="H193" t="str">
        <f>"01590 647670"</f>
        <v>01590 647670</v>
      </c>
    </row>
    <row r="194" spans="1:8">
      <c r="A194" t="s">
        <v>857</v>
      </c>
      <c r="B194" t="s">
        <v>875</v>
      </c>
      <c r="D194" t="s">
        <v>876</v>
      </c>
      <c r="E194" t="s">
        <v>200</v>
      </c>
      <c r="F194" t="s">
        <v>877</v>
      </c>
      <c r="G194" t="s">
        <v>861</v>
      </c>
      <c r="H194" t="str">
        <f>"02031467300"</f>
        <v>02031467300</v>
      </c>
    </row>
    <row r="195" spans="1:8">
      <c r="A195" t="s">
        <v>857</v>
      </c>
      <c r="B195" t="s">
        <v>879</v>
      </c>
      <c r="D195" t="s">
        <v>878</v>
      </c>
      <c r="F195" t="s">
        <v>880</v>
      </c>
      <c r="G195" t="s">
        <v>861</v>
      </c>
      <c r="H195" t="str">
        <f>"01273 461381"</f>
        <v>01273 461381</v>
      </c>
    </row>
    <row r="196" spans="1:8">
      <c r="A196" t="s">
        <v>857</v>
      </c>
      <c r="B196" t="s">
        <v>882</v>
      </c>
      <c r="D196" t="s">
        <v>881</v>
      </c>
      <c r="F196" t="s">
        <v>883</v>
      </c>
      <c r="G196" t="s">
        <v>884</v>
      </c>
      <c r="H196" t="str">
        <f>"01672 515846"</f>
        <v>01672 515846</v>
      </c>
    </row>
    <row r="197" spans="1:8">
      <c r="A197" t="s">
        <v>885</v>
      </c>
      <c r="B197" t="s">
        <v>886</v>
      </c>
      <c r="C197" t="s">
        <v>887</v>
      </c>
      <c r="D197" t="s">
        <v>256</v>
      </c>
      <c r="F197" t="s">
        <v>888</v>
      </c>
      <c r="G197" t="s">
        <v>889</v>
      </c>
      <c r="H197" t="str">
        <f>"01642050800"</f>
        <v>01642050800</v>
      </c>
    </row>
    <row r="198" spans="1:8">
      <c r="A198" t="s">
        <v>890</v>
      </c>
      <c r="B198" t="s">
        <v>891</v>
      </c>
      <c r="D198" t="s">
        <v>892</v>
      </c>
      <c r="E198" t="s">
        <v>893</v>
      </c>
      <c r="F198" t="s">
        <v>894</v>
      </c>
      <c r="G198" t="s">
        <v>895</v>
      </c>
      <c r="H198" t="str">
        <f>"0151 281 9040"</f>
        <v>0151 281 9040</v>
      </c>
    </row>
    <row r="199" spans="1:8">
      <c r="A199" t="s">
        <v>896</v>
      </c>
      <c r="B199" t="s">
        <v>897</v>
      </c>
      <c r="D199" t="s">
        <v>898</v>
      </c>
      <c r="E199" t="s">
        <v>775</v>
      </c>
      <c r="F199" t="s">
        <v>899</v>
      </c>
      <c r="G199" t="s">
        <v>900</v>
      </c>
      <c r="H199" t="str">
        <f>"01664 563012"</f>
        <v>01664 563012</v>
      </c>
    </row>
    <row r="200" spans="1:8">
      <c r="A200" t="s">
        <v>896</v>
      </c>
      <c r="B200" t="s">
        <v>901</v>
      </c>
      <c r="D200" t="s">
        <v>902</v>
      </c>
      <c r="E200" t="s">
        <v>775</v>
      </c>
      <c r="F200" t="s">
        <v>903</v>
      </c>
      <c r="G200" t="s">
        <v>904</v>
      </c>
      <c r="H200" t="str">
        <f>"01509 238822"</f>
        <v>01509 238822</v>
      </c>
    </row>
    <row r="201" spans="1:8">
      <c r="A201" t="s">
        <v>905</v>
      </c>
      <c r="B201" t="s">
        <v>906</v>
      </c>
      <c r="C201" t="s">
        <v>907</v>
      </c>
      <c r="D201" t="s">
        <v>57</v>
      </c>
      <c r="F201" t="s">
        <v>908</v>
      </c>
      <c r="G201" t="s">
        <v>909</v>
      </c>
      <c r="H201" t="str">
        <f>"02078024802"</f>
        <v>02078024802</v>
      </c>
    </row>
    <row r="202" spans="1:8">
      <c r="A202" t="s">
        <v>910</v>
      </c>
      <c r="B202" t="s">
        <v>911</v>
      </c>
      <c r="C202" t="s">
        <v>912</v>
      </c>
      <c r="D202" t="s">
        <v>913</v>
      </c>
      <c r="E202" t="s">
        <v>184</v>
      </c>
      <c r="F202" t="s">
        <v>914</v>
      </c>
      <c r="G202" t="s">
        <v>915</v>
      </c>
      <c r="H202" t="str">
        <f>"01707 332383"</f>
        <v>01707 332383</v>
      </c>
    </row>
    <row r="203" spans="1:8">
      <c r="A203" t="s">
        <v>916</v>
      </c>
      <c r="B203" t="s">
        <v>917</v>
      </c>
      <c r="D203" t="s">
        <v>297</v>
      </c>
      <c r="F203" t="s">
        <v>918</v>
      </c>
      <c r="G203" t="s">
        <v>919</v>
      </c>
      <c r="H203" t="str">
        <f>"01615051878"</f>
        <v>01615051878</v>
      </c>
    </row>
    <row r="204" spans="1:8">
      <c r="A204" t="s">
        <v>920</v>
      </c>
      <c r="B204" t="s">
        <v>921</v>
      </c>
      <c r="D204" t="s">
        <v>922</v>
      </c>
      <c r="F204" t="s">
        <v>923</v>
      </c>
      <c r="G204" t="s">
        <v>924</v>
      </c>
      <c r="H204" t="str">
        <f>"01227812703"</f>
        <v>01227812703</v>
      </c>
    </row>
    <row r="205" spans="1:8">
      <c r="A205" t="s">
        <v>925</v>
      </c>
      <c r="B205" t="s">
        <v>926</v>
      </c>
      <c r="D205" t="s">
        <v>927</v>
      </c>
      <c r="F205" t="s">
        <v>928</v>
      </c>
      <c r="G205" t="s">
        <v>929</v>
      </c>
      <c r="H205" t="str">
        <f>"01227 812722"</f>
        <v>01227 812722</v>
      </c>
    </row>
    <row r="206" spans="1:8">
      <c r="A206" t="s">
        <v>925</v>
      </c>
      <c r="B206" t="s">
        <v>930</v>
      </c>
      <c r="D206" t="s">
        <v>931</v>
      </c>
      <c r="E206" t="s">
        <v>932</v>
      </c>
      <c r="F206" t="s">
        <v>933</v>
      </c>
      <c r="G206" t="s">
        <v>934</v>
      </c>
      <c r="H206" t="str">
        <f>"01749594000"</f>
        <v>01749594000</v>
      </c>
    </row>
    <row r="207" spans="1:8">
      <c r="A207" t="s">
        <v>925</v>
      </c>
      <c r="B207" t="s">
        <v>935</v>
      </c>
      <c r="C207" t="s">
        <v>936</v>
      </c>
      <c r="D207" t="s">
        <v>937</v>
      </c>
      <c r="F207" t="s">
        <v>938</v>
      </c>
      <c r="G207" t="s">
        <v>939</v>
      </c>
      <c r="H207" t="str">
        <f>"0121 8092900"</f>
        <v>0121 8092900</v>
      </c>
    </row>
    <row r="208" spans="1:8">
      <c r="A208" t="s">
        <v>940</v>
      </c>
      <c r="B208" t="s">
        <v>941</v>
      </c>
      <c r="D208" t="s">
        <v>942</v>
      </c>
      <c r="E208" t="s">
        <v>742</v>
      </c>
      <c r="F208" t="s">
        <v>943</v>
      </c>
      <c r="G208" t="s">
        <v>944</v>
      </c>
      <c r="H208" t="str">
        <f>"01366 383171"</f>
        <v>01366 383171</v>
      </c>
    </row>
    <row r="209" spans="1:8">
      <c r="A209" t="s">
        <v>940</v>
      </c>
      <c r="B209" t="s">
        <v>945</v>
      </c>
      <c r="D209" t="s">
        <v>946</v>
      </c>
      <c r="F209" t="s">
        <v>947</v>
      </c>
      <c r="G209" t="s">
        <v>944</v>
      </c>
      <c r="H209" t="str">
        <f>"01945 461456"</f>
        <v>01945 461456</v>
      </c>
    </row>
    <row r="210" spans="1:8">
      <c r="A210" t="s">
        <v>940</v>
      </c>
      <c r="B210" t="s">
        <v>948</v>
      </c>
      <c r="D210" t="s">
        <v>949</v>
      </c>
      <c r="F210" t="s">
        <v>950</v>
      </c>
      <c r="G210" t="s">
        <v>944</v>
      </c>
      <c r="H210" t="str">
        <f>"01553 666600"</f>
        <v>01553 666600</v>
      </c>
    </row>
    <row r="211" spans="1:8">
      <c r="A211" t="s">
        <v>940</v>
      </c>
      <c r="B211" t="s">
        <v>500</v>
      </c>
      <c r="D211" t="s">
        <v>951</v>
      </c>
      <c r="E211" t="s">
        <v>369</v>
      </c>
      <c r="F211" t="s">
        <v>952</v>
      </c>
      <c r="G211" t="s">
        <v>944</v>
      </c>
      <c r="H211" t="str">
        <f>"01354 602880"</f>
        <v>01354 602880</v>
      </c>
    </row>
    <row r="212" spans="1:8">
      <c r="A212" t="s">
        <v>940</v>
      </c>
      <c r="B212" t="s">
        <v>953</v>
      </c>
      <c r="D212" t="s">
        <v>954</v>
      </c>
      <c r="E212" t="s">
        <v>369</v>
      </c>
      <c r="F212" t="s">
        <v>955</v>
      </c>
      <c r="G212" t="s">
        <v>956</v>
      </c>
      <c r="H212" t="str">
        <f>"01353 383483"</f>
        <v>01353 383483</v>
      </c>
    </row>
    <row r="213" spans="1:8">
      <c r="A213" t="s">
        <v>957</v>
      </c>
      <c r="B213" t="s">
        <v>958</v>
      </c>
      <c r="D213" t="s">
        <v>57</v>
      </c>
      <c r="F213" t="s">
        <v>959</v>
      </c>
      <c r="G213" t="s">
        <v>960</v>
      </c>
      <c r="H213" t="str">
        <f>"02072358000"</f>
        <v>02072358000</v>
      </c>
    </row>
    <row r="214" spans="1:8">
      <c r="A214" t="s">
        <v>961</v>
      </c>
      <c r="B214" t="s">
        <v>962</v>
      </c>
      <c r="D214" t="s">
        <v>552</v>
      </c>
      <c r="F214" t="s">
        <v>963</v>
      </c>
      <c r="G214" t="s">
        <v>964</v>
      </c>
      <c r="H214" t="str">
        <f>"01752 292222"</f>
        <v>01752 292222</v>
      </c>
    </row>
    <row r="215" spans="1:8">
      <c r="A215" t="s">
        <v>961</v>
      </c>
      <c r="B215" t="s">
        <v>965</v>
      </c>
      <c r="C215" t="s">
        <v>966</v>
      </c>
      <c r="D215" t="s">
        <v>552</v>
      </c>
      <c r="F215" t="s">
        <v>967</v>
      </c>
      <c r="G215" t="s">
        <v>964</v>
      </c>
      <c r="H215" t="str">
        <f>"01752 345311"</f>
        <v>01752 345311</v>
      </c>
    </row>
    <row r="216" spans="1:8">
      <c r="A216" t="s">
        <v>968</v>
      </c>
      <c r="B216" t="s">
        <v>969</v>
      </c>
      <c r="D216" t="s">
        <v>970</v>
      </c>
      <c r="E216" t="s">
        <v>971</v>
      </c>
      <c r="F216" t="s">
        <v>972</v>
      </c>
      <c r="G216" t="s">
        <v>973</v>
      </c>
      <c r="H216" t="str">
        <f>"01432 276276"</f>
        <v>01432 276276</v>
      </c>
    </row>
    <row r="217" spans="1:8">
      <c r="A217" t="s">
        <v>974</v>
      </c>
      <c r="B217" t="s">
        <v>975</v>
      </c>
      <c r="D217" t="s">
        <v>403</v>
      </c>
      <c r="E217" t="s">
        <v>184</v>
      </c>
      <c r="F217" t="s">
        <v>976</v>
      </c>
      <c r="G217" t="s">
        <v>977</v>
      </c>
      <c r="H217" t="str">
        <f>"01727 738986"</f>
        <v>01727 738986</v>
      </c>
    </row>
    <row r="218" spans="1:8">
      <c r="A218" t="s">
        <v>974</v>
      </c>
      <c r="B218" t="s">
        <v>978</v>
      </c>
      <c r="D218" t="s">
        <v>57</v>
      </c>
      <c r="F218" t="s">
        <v>979</v>
      </c>
      <c r="G218" t="s">
        <v>977</v>
      </c>
      <c r="H218" t="str">
        <f>"020 7478 9010"</f>
        <v>020 7478 9010</v>
      </c>
    </row>
    <row r="219" spans="1:8">
      <c r="A219" t="s">
        <v>980</v>
      </c>
      <c r="B219" t="s">
        <v>981</v>
      </c>
      <c r="D219" t="s">
        <v>982</v>
      </c>
      <c r="E219" t="s">
        <v>760</v>
      </c>
      <c r="F219" t="s">
        <v>983</v>
      </c>
      <c r="G219" t="s">
        <v>984</v>
      </c>
      <c r="H219" t="str">
        <f>"01844 212305"</f>
        <v>01844 212305</v>
      </c>
    </row>
    <row r="220" spans="1:8">
      <c r="A220" t="s">
        <v>980</v>
      </c>
      <c r="B220" t="s">
        <v>985</v>
      </c>
      <c r="D220" t="s">
        <v>982</v>
      </c>
      <c r="E220" t="s">
        <v>760</v>
      </c>
      <c r="F220" t="s">
        <v>986</v>
      </c>
      <c r="G220" t="s">
        <v>987</v>
      </c>
      <c r="H220" t="str">
        <f>"01844 212305"</f>
        <v>01844 212305</v>
      </c>
    </row>
    <row r="221" spans="1:8">
      <c r="A221" t="s">
        <v>980</v>
      </c>
      <c r="B221" t="s">
        <v>989</v>
      </c>
      <c r="D221" t="s">
        <v>988</v>
      </c>
      <c r="E221" t="s">
        <v>990</v>
      </c>
      <c r="F221" t="s">
        <v>991</v>
      </c>
      <c r="G221" t="s">
        <v>987</v>
      </c>
      <c r="H221" t="str">
        <f>"01844 397020"</f>
        <v>01844 397020</v>
      </c>
    </row>
    <row r="222" spans="1:8">
      <c r="A222" t="s">
        <v>980</v>
      </c>
      <c r="B222" t="s">
        <v>993</v>
      </c>
      <c r="D222" t="s">
        <v>982</v>
      </c>
      <c r="E222" t="s">
        <v>760</v>
      </c>
      <c r="F222" t="s">
        <v>994</v>
      </c>
      <c r="G222" t="s">
        <v>987</v>
      </c>
      <c r="H222" t="str">
        <f>"01844 212305"</f>
        <v>01844 212305</v>
      </c>
    </row>
    <row r="223" spans="1:8">
      <c r="A223" t="s">
        <v>980</v>
      </c>
      <c r="B223" t="s">
        <v>996</v>
      </c>
      <c r="D223" t="s">
        <v>995</v>
      </c>
      <c r="F223" t="s">
        <v>997</v>
      </c>
      <c r="G223" t="s">
        <v>998</v>
      </c>
      <c r="H223" t="str">
        <f>"01628 369176"</f>
        <v>01628 369176</v>
      </c>
    </row>
    <row r="224" spans="1:8">
      <c r="A224" t="s">
        <v>999</v>
      </c>
      <c r="B224" t="s">
        <v>1000</v>
      </c>
      <c r="D224" t="s">
        <v>57</v>
      </c>
      <c r="E224" t="s">
        <v>435</v>
      </c>
      <c r="F224" t="s">
        <v>1001</v>
      </c>
      <c r="G224" t="s">
        <v>1002</v>
      </c>
      <c r="H224" t="str">
        <f>"02045867238"</f>
        <v>02045867238</v>
      </c>
    </row>
    <row r="225" spans="1:8">
      <c r="A225" t="s">
        <v>1003</v>
      </c>
      <c r="B225" t="s">
        <v>1004</v>
      </c>
      <c r="C225" t="s">
        <v>1005</v>
      </c>
      <c r="D225" t="s">
        <v>1006</v>
      </c>
      <c r="E225" t="s">
        <v>1007</v>
      </c>
      <c r="F225" t="s">
        <v>1008</v>
      </c>
      <c r="G225" t="s">
        <v>1009</v>
      </c>
      <c r="H225" t="str">
        <f>"01597 822707"</f>
        <v>01597 822707</v>
      </c>
    </row>
    <row r="226" spans="1:8">
      <c r="A226" t="s">
        <v>1010</v>
      </c>
      <c r="B226" t="s">
        <v>1011</v>
      </c>
      <c r="D226" t="s">
        <v>898</v>
      </c>
      <c r="E226" t="s">
        <v>775</v>
      </c>
      <c r="F226" t="s">
        <v>1012</v>
      </c>
      <c r="G226" t="s">
        <v>1013</v>
      </c>
      <c r="H226" t="str">
        <f>"01664 563162"</f>
        <v>01664 563162</v>
      </c>
    </row>
    <row r="227" spans="1:8">
      <c r="A227" t="s">
        <v>1014</v>
      </c>
      <c r="B227" t="s">
        <v>1015</v>
      </c>
      <c r="C227" t="s">
        <v>1016</v>
      </c>
      <c r="D227" t="s">
        <v>226</v>
      </c>
      <c r="E227" t="s">
        <v>227</v>
      </c>
      <c r="F227" t="s">
        <v>1017</v>
      </c>
      <c r="G227" t="s">
        <v>1018</v>
      </c>
      <c r="H227" t="str">
        <f>"01302 327136"</f>
        <v>01302 327136</v>
      </c>
    </row>
    <row r="228" spans="1:8">
      <c r="A228" t="s">
        <v>1014</v>
      </c>
      <c r="B228" t="s">
        <v>1019</v>
      </c>
      <c r="D228" t="s">
        <v>624</v>
      </c>
      <c r="E228" t="s">
        <v>410</v>
      </c>
      <c r="F228" t="s">
        <v>1020</v>
      </c>
      <c r="G228" t="s">
        <v>1021</v>
      </c>
      <c r="H228" t="str">
        <f>"01909 473560"</f>
        <v>01909 473560</v>
      </c>
    </row>
    <row r="229" spans="1:8">
      <c r="A229" t="s">
        <v>1014</v>
      </c>
      <c r="B229" t="s">
        <v>1023</v>
      </c>
      <c r="C229" t="s">
        <v>1022</v>
      </c>
      <c r="D229" t="s">
        <v>1024</v>
      </c>
      <c r="E229" t="s">
        <v>227</v>
      </c>
      <c r="F229" t="s">
        <v>1025</v>
      </c>
      <c r="G229" t="s">
        <v>1021</v>
      </c>
      <c r="H229" t="str">
        <f>"0114 246 760"</f>
        <v>0114 246 760</v>
      </c>
    </row>
    <row r="230" spans="1:8">
      <c r="A230" t="s">
        <v>1014</v>
      </c>
      <c r="B230" t="s">
        <v>1027</v>
      </c>
      <c r="C230" t="s">
        <v>1026</v>
      </c>
      <c r="D230" t="s">
        <v>1024</v>
      </c>
      <c r="E230" t="s">
        <v>227</v>
      </c>
      <c r="F230" t="s">
        <v>1028</v>
      </c>
      <c r="G230" t="s">
        <v>1021</v>
      </c>
      <c r="H230" t="str">
        <f>"0114 2511702"</f>
        <v>0114 2511702</v>
      </c>
    </row>
    <row r="231" spans="1:8">
      <c r="A231" t="s">
        <v>1014</v>
      </c>
      <c r="B231" t="s">
        <v>1029</v>
      </c>
      <c r="D231" t="s">
        <v>627</v>
      </c>
      <c r="E231" t="s">
        <v>410</v>
      </c>
      <c r="F231" t="s">
        <v>1030</v>
      </c>
      <c r="G231" t="s">
        <v>1021</v>
      </c>
      <c r="H231" t="str">
        <f>"01777 703 100"</f>
        <v>01777 703 100</v>
      </c>
    </row>
    <row r="232" spans="1:8">
      <c r="A232" t="s">
        <v>1014</v>
      </c>
      <c r="B232" t="s">
        <v>1032</v>
      </c>
      <c r="C232" t="s">
        <v>1031</v>
      </c>
      <c r="D232" t="s">
        <v>286</v>
      </c>
      <c r="E232" t="s">
        <v>1033</v>
      </c>
      <c r="F232" t="s">
        <v>1034</v>
      </c>
      <c r="G232" t="s">
        <v>1035</v>
      </c>
      <c r="H232" t="str">
        <f>"01246 810 050"</f>
        <v>01246 810 050</v>
      </c>
    </row>
    <row r="233" spans="1:8">
      <c r="A233" t="s">
        <v>1036</v>
      </c>
      <c r="B233" t="s">
        <v>1037</v>
      </c>
      <c r="C233" t="s">
        <v>1038</v>
      </c>
      <c r="D233" t="s">
        <v>303</v>
      </c>
      <c r="F233" t="s">
        <v>1039</v>
      </c>
      <c r="G233" t="s">
        <v>1040</v>
      </c>
      <c r="H233" t="str">
        <f>"02920 483181"</f>
        <v>02920 483181</v>
      </c>
    </row>
    <row r="234" spans="1:8">
      <c r="A234" t="s">
        <v>1036</v>
      </c>
      <c r="B234" t="s">
        <v>1041</v>
      </c>
      <c r="D234" t="s">
        <v>1042</v>
      </c>
      <c r="F234" t="s">
        <v>1043</v>
      </c>
      <c r="G234" t="s">
        <v>1040</v>
      </c>
      <c r="H234" t="str">
        <f>"01656 457466"</f>
        <v>01656 457466</v>
      </c>
    </row>
    <row r="235" spans="1:8">
      <c r="A235" t="s">
        <v>1036</v>
      </c>
      <c r="B235" t="s">
        <v>1044</v>
      </c>
      <c r="D235" t="s">
        <v>1045</v>
      </c>
      <c r="F235" t="s">
        <v>1046</v>
      </c>
      <c r="G235" t="s">
        <v>1040</v>
      </c>
      <c r="H235" t="str">
        <f>"01495 227128"</f>
        <v>01495 227128</v>
      </c>
    </row>
    <row r="236" spans="1:8">
      <c r="A236" t="s">
        <v>1036</v>
      </c>
      <c r="B236" t="s">
        <v>1047</v>
      </c>
      <c r="D236" t="s">
        <v>1048</v>
      </c>
      <c r="F236" t="s">
        <v>1049</v>
      </c>
      <c r="G236" t="s">
        <v>1040</v>
      </c>
      <c r="H236" t="str">
        <f>"01446 420043"</f>
        <v>01446 420043</v>
      </c>
    </row>
    <row r="237" spans="1:8">
      <c r="A237" t="s">
        <v>1036</v>
      </c>
      <c r="B237" t="s">
        <v>1051</v>
      </c>
      <c r="D237" t="s">
        <v>1050</v>
      </c>
      <c r="F237" t="s">
        <v>1052</v>
      </c>
      <c r="G237" t="s">
        <v>1053</v>
      </c>
      <c r="H237" t="str">
        <f>"0333 231 6405"</f>
        <v>0333 231 6405</v>
      </c>
    </row>
    <row r="238" spans="1:8">
      <c r="A238" t="s">
        <v>1036</v>
      </c>
      <c r="B238" t="s">
        <v>1055</v>
      </c>
      <c r="D238" t="s">
        <v>1054</v>
      </c>
      <c r="F238" t="s">
        <v>1056</v>
      </c>
      <c r="G238" t="s">
        <v>1053</v>
      </c>
      <c r="H238" t="str">
        <f>"01792 004736"</f>
        <v>01792 004736</v>
      </c>
    </row>
    <row r="239" spans="1:8">
      <c r="A239" t="s">
        <v>1036</v>
      </c>
      <c r="B239" t="s">
        <v>1057</v>
      </c>
      <c r="D239" t="s">
        <v>1048</v>
      </c>
      <c r="F239" t="s">
        <v>1058</v>
      </c>
      <c r="G239" t="s">
        <v>1059</v>
      </c>
      <c r="H239" t="str">
        <f>"01446 720444"</f>
        <v>01446 720444</v>
      </c>
    </row>
    <row r="240" spans="1:8">
      <c r="A240" t="s">
        <v>1060</v>
      </c>
      <c r="B240" t="s">
        <v>1061</v>
      </c>
      <c r="D240" t="s">
        <v>1062</v>
      </c>
      <c r="E240" t="s">
        <v>1063</v>
      </c>
      <c r="F240" t="s">
        <v>1064</v>
      </c>
      <c r="G240" t="s">
        <v>1065</v>
      </c>
      <c r="H240" t="str">
        <f>"01639 643635"</f>
        <v>01639 643635</v>
      </c>
    </row>
    <row r="241" spans="1:8">
      <c r="A241" t="s">
        <v>1060</v>
      </c>
      <c r="B241" t="s">
        <v>1066</v>
      </c>
      <c r="C241" t="s">
        <v>1067</v>
      </c>
      <c r="D241" t="s">
        <v>1068</v>
      </c>
      <c r="E241" t="s">
        <v>1069</v>
      </c>
      <c r="F241" t="s">
        <v>1070</v>
      </c>
      <c r="G241" t="s">
        <v>1071</v>
      </c>
      <c r="H241" t="str">
        <f>"01639 842235"</f>
        <v>01639 842235</v>
      </c>
    </row>
    <row r="242" spans="1:8">
      <c r="A242" t="s">
        <v>1072</v>
      </c>
      <c r="B242" t="s">
        <v>1073</v>
      </c>
      <c r="C242" t="s">
        <v>1074</v>
      </c>
      <c r="D242" t="s">
        <v>674</v>
      </c>
      <c r="E242" t="s">
        <v>280</v>
      </c>
      <c r="F242" t="s">
        <v>1075</v>
      </c>
      <c r="G242" t="s">
        <v>1076</v>
      </c>
      <c r="H242" t="str">
        <f>"033333 95535"</f>
        <v>033333 95535</v>
      </c>
    </row>
    <row r="243" spans="1:8">
      <c r="A243" t="s">
        <v>1072</v>
      </c>
      <c r="B243" t="s">
        <v>1077</v>
      </c>
      <c r="D243" t="s">
        <v>57</v>
      </c>
      <c r="E243" t="s">
        <v>486</v>
      </c>
      <c r="F243" t="s">
        <v>1078</v>
      </c>
      <c r="G243" t="s">
        <v>1076</v>
      </c>
      <c r="H243" t="str">
        <f>"020 3948 6660"</f>
        <v>020 3948 6660</v>
      </c>
    </row>
    <row r="244" spans="1:8">
      <c r="A244" t="s">
        <v>1079</v>
      </c>
      <c r="B244" t="s">
        <v>1080</v>
      </c>
      <c r="D244" t="s">
        <v>379</v>
      </c>
      <c r="E244" t="s">
        <v>369</v>
      </c>
      <c r="F244" t="s">
        <v>1081</v>
      </c>
      <c r="G244" t="s">
        <v>1082</v>
      </c>
      <c r="H244" t="str">
        <f>"01223 578070"</f>
        <v>01223 578070</v>
      </c>
    </row>
    <row r="245" spans="1:8">
      <c r="A245" t="s">
        <v>1079</v>
      </c>
      <c r="B245" t="s">
        <v>1083</v>
      </c>
      <c r="C245" t="s">
        <v>1084</v>
      </c>
      <c r="D245" t="s">
        <v>379</v>
      </c>
      <c r="E245" t="s">
        <v>369</v>
      </c>
      <c r="F245" t="s">
        <v>1085</v>
      </c>
      <c r="G245" t="s">
        <v>1082</v>
      </c>
      <c r="H245" t="str">
        <f>"01223 518317"</f>
        <v>01223 518317</v>
      </c>
    </row>
    <row r="246" spans="1:8">
      <c r="A246" t="s">
        <v>1086</v>
      </c>
      <c r="B246" t="s">
        <v>1087</v>
      </c>
      <c r="D246" t="s">
        <v>902</v>
      </c>
      <c r="E246" t="s">
        <v>775</v>
      </c>
      <c r="F246" t="s">
        <v>1088</v>
      </c>
      <c r="G246" t="s">
        <v>1089</v>
      </c>
      <c r="H246" t="str">
        <f>"01509 217770"</f>
        <v>01509 217770</v>
      </c>
    </row>
    <row r="247" spans="1:8">
      <c r="A247" t="s">
        <v>1090</v>
      </c>
      <c r="B247" t="s">
        <v>1091</v>
      </c>
      <c r="C247" t="s">
        <v>1092</v>
      </c>
      <c r="D247" t="s">
        <v>170</v>
      </c>
      <c r="F247" t="s">
        <v>1093</v>
      </c>
      <c r="G247" t="s">
        <v>1094</v>
      </c>
      <c r="H247" t="str">
        <f>"01622 801 208"</f>
        <v>01622 801 208</v>
      </c>
    </row>
    <row r="248" spans="1:8">
      <c r="A248" t="s">
        <v>1095</v>
      </c>
      <c r="B248" t="s">
        <v>1096</v>
      </c>
      <c r="C248" t="s">
        <v>1097</v>
      </c>
      <c r="D248" t="s">
        <v>368</v>
      </c>
      <c r="F248" t="s">
        <v>1098</v>
      </c>
      <c r="G248" t="s">
        <v>1099</v>
      </c>
      <c r="H248" t="str">
        <f>"01733978150"</f>
        <v>01733978150</v>
      </c>
    </row>
    <row r="249" spans="1:8">
      <c r="A249" t="s">
        <v>1100</v>
      </c>
      <c r="B249" t="s">
        <v>1101</v>
      </c>
      <c r="C249" t="s">
        <v>1102</v>
      </c>
      <c r="D249" t="s">
        <v>1103</v>
      </c>
      <c r="E249" t="s">
        <v>106</v>
      </c>
      <c r="F249" t="s">
        <v>1104</v>
      </c>
      <c r="G249" t="s">
        <v>1105</v>
      </c>
      <c r="H249" t="str">
        <f>"01743 236345"</f>
        <v>01743 236345</v>
      </c>
    </row>
    <row r="250" spans="1:8">
      <c r="A250" t="s">
        <v>1100</v>
      </c>
      <c r="B250" t="s">
        <v>1106</v>
      </c>
      <c r="D250" t="s">
        <v>1107</v>
      </c>
      <c r="E250" t="s">
        <v>106</v>
      </c>
      <c r="F250" t="s">
        <v>1108</v>
      </c>
      <c r="G250" t="s">
        <v>1105</v>
      </c>
      <c r="H250" t="str">
        <f>"01630657222"</f>
        <v>01630657222</v>
      </c>
    </row>
    <row r="251" spans="1:8">
      <c r="A251" t="s">
        <v>1109</v>
      </c>
      <c r="B251" t="s">
        <v>1110</v>
      </c>
      <c r="D251" t="s">
        <v>1111</v>
      </c>
      <c r="E251" t="s">
        <v>16</v>
      </c>
      <c r="F251" t="s">
        <v>1112</v>
      </c>
      <c r="G251" t="s">
        <v>1113</v>
      </c>
      <c r="H251" t="str">
        <f>"01902 773786"</f>
        <v>01902 773786</v>
      </c>
    </row>
    <row r="252" spans="1:8">
      <c r="A252" t="s">
        <v>1114</v>
      </c>
      <c r="B252" t="s">
        <v>1115</v>
      </c>
      <c r="C252" t="s">
        <v>1116</v>
      </c>
      <c r="D252" t="s">
        <v>1117</v>
      </c>
      <c r="E252" t="s">
        <v>315</v>
      </c>
      <c r="F252" t="s">
        <v>1118</v>
      </c>
      <c r="G252" t="s">
        <v>1119</v>
      </c>
      <c r="H252" t="str">
        <f>"0161 694 3000"</f>
        <v>0161 694 3000</v>
      </c>
    </row>
    <row r="253" spans="1:8">
      <c r="A253" t="s">
        <v>1121</v>
      </c>
      <c r="B253" t="s">
        <v>1122</v>
      </c>
      <c r="C253" t="s">
        <v>1123</v>
      </c>
      <c r="D253" t="s">
        <v>1124</v>
      </c>
      <c r="E253" t="s">
        <v>315</v>
      </c>
      <c r="F253" t="s">
        <v>1125</v>
      </c>
      <c r="G253" t="s">
        <v>1126</v>
      </c>
      <c r="H253" t="str">
        <f>"0344 245 2500"</f>
        <v>0344 245 2500</v>
      </c>
    </row>
    <row r="254" spans="1:8">
      <c r="A254" t="s">
        <v>1114</v>
      </c>
      <c r="B254" t="s">
        <v>1127</v>
      </c>
      <c r="D254" t="s">
        <v>1117</v>
      </c>
      <c r="F254" t="s">
        <v>1128</v>
      </c>
      <c r="G254" t="s">
        <v>1119</v>
      </c>
      <c r="H254" t="str">
        <f>"0203 962 7777"</f>
        <v>0203 962 7777</v>
      </c>
    </row>
    <row r="255" spans="1:8">
      <c r="A255" t="s">
        <v>1129</v>
      </c>
      <c r="B255" t="s">
        <v>1130</v>
      </c>
      <c r="C255" t="s">
        <v>1131</v>
      </c>
      <c r="D255" t="s">
        <v>1132</v>
      </c>
      <c r="E255" t="s">
        <v>464</v>
      </c>
      <c r="F255" t="s">
        <v>1133</v>
      </c>
      <c r="G255" t="s">
        <v>1134</v>
      </c>
      <c r="H255" t="str">
        <f>"01935 382680"</f>
        <v>01935 382680</v>
      </c>
    </row>
    <row r="256" spans="1:8">
      <c r="A256" t="s">
        <v>1129</v>
      </c>
      <c r="B256" t="s">
        <v>1136</v>
      </c>
      <c r="C256" t="s">
        <v>1137</v>
      </c>
      <c r="D256" t="s">
        <v>1135</v>
      </c>
      <c r="E256" t="s">
        <v>464</v>
      </c>
      <c r="F256" t="s">
        <v>1138</v>
      </c>
      <c r="G256" t="s">
        <v>1134</v>
      </c>
      <c r="H256" t="str">
        <f>"01935 382680"</f>
        <v>01935 382680</v>
      </c>
    </row>
    <row r="257" spans="1:8">
      <c r="A257" t="s">
        <v>1129</v>
      </c>
      <c r="B257" t="s">
        <v>1140</v>
      </c>
      <c r="C257" t="s">
        <v>1141</v>
      </c>
      <c r="D257" t="s">
        <v>1139</v>
      </c>
      <c r="F257" t="s">
        <v>1142</v>
      </c>
      <c r="G257" t="s">
        <v>1143</v>
      </c>
      <c r="H257" t="str">
        <f>"01935 382680"</f>
        <v>01935 382680</v>
      </c>
    </row>
    <row r="258" spans="1:8">
      <c r="A258" t="s">
        <v>1144</v>
      </c>
      <c r="B258" t="s">
        <v>1145</v>
      </c>
      <c r="D258" t="s">
        <v>902</v>
      </c>
      <c r="F258" t="s">
        <v>1146</v>
      </c>
      <c r="G258" t="s">
        <v>1147</v>
      </c>
      <c r="H258" t="str">
        <f>"01509 268931"</f>
        <v>01509 268931</v>
      </c>
    </row>
    <row r="259" spans="1:8">
      <c r="A259" t="s">
        <v>1144</v>
      </c>
      <c r="B259" t="s">
        <v>1148</v>
      </c>
      <c r="D259" t="s">
        <v>1149</v>
      </c>
      <c r="F259" t="s">
        <v>1150</v>
      </c>
      <c r="G259" t="s">
        <v>1151</v>
      </c>
      <c r="H259" t="str">
        <f>"0116 2161605"</f>
        <v>0116 2161605</v>
      </c>
    </row>
    <row r="260" spans="1:8">
      <c r="A260" t="s">
        <v>1152</v>
      </c>
      <c r="B260" t="s">
        <v>1153</v>
      </c>
      <c r="D260" t="s">
        <v>1154</v>
      </c>
      <c r="E260" t="s">
        <v>464</v>
      </c>
      <c r="F260" t="s">
        <v>1155</v>
      </c>
      <c r="G260" t="s">
        <v>1156</v>
      </c>
      <c r="H260" t="str">
        <f>"01749 836119"</f>
        <v>01749 836119</v>
      </c>
    </row>
    <row r="261" spans="1:8">
      <c r="A261" t="s">
        <v>1152</v>
      </c>
      <c r="B261" t="s">
        <v>1157</v>
      </c>
      <c r="D261" t="s">
        <v>1158</v>
      </c>
      <c r="E261" t="s">
        <v>464</v>
      </c>
      <c r="F261" t="s">
        <v>1159</v>
      </c>
      <c r="G261" t="s">
        <v>1160</v>
      </c>
      <c r="H261" t="str">
        <f>"01749 836100"</f>
        <v>01749 836100</v>
      </c>
    </row>
    <row r="262" spans="1:8">
      <c r="A262" t="s">
        <v>1152</v>
      </c>
      <c r="B262" t="s">
        <v>1161</v>
      </c>
      <c r="D262" t="s">
        <v>1162</v>
      </c>
      <c r="E262" t="s">
        <v>464</v>
      </c>
      <c r="F262" t="s">
        <v>1163</v>
      </c>
      <c r="G262" t="s">
        <v>1160</v>
      </c>
      <c r="H262" t="str">
        <f>"01749 836100"</f>
        <v>01749 836100</v>
      </c>
    </row>
    <row r="263" spans="1:8">
      <c r="A263" t="s">
        <v>1164</v>
      </c>
      <c r="B263" t="s">
        <v>1165</v>
      </c>
      <c r="D263" t="s">
        <v>1166</v>
      </c>
      <c r="F263" t="s">
        <v>1167</v>
      </c>
      <c r="G263" t="s">
        <v>1168</v>
      </c>
      <c r="H263" t="str">
        <f>"02036490550"</f>
        <v>02036490550</v>
      </c>
    </row>
    <row r="264" spans="1:8">
      <c r="A264" t="s">
        <v>1164</v>
      </c>
      <c r="B264" t="s">
        <v>1169</v>
      </c>
      <c r="D264" t="s">
        <v>57</v>
      </c>
      <c r="F264" t="s">
        <v>1170</v>
      </c>
      <c r="G264" t="s">
        <v>1171</v>
      </c>
      <c r="H264" t="str">
        <f>"02036490550"</f>
        <v>02036490550</v>
      </c>
    </row>
    <row r="265" spans="1:8">
      <c r="A265" t="s">
        <v>1172</v>
      </c>
      <c r="B265" t="s">
        <v>1173</v>
      </c>
      <c r="D265" t="s">
        <v>20</v>
      </c>
      <c r="E265" t="s">
        <v>11</v>
      </c>
      <c r="F265" t="s">
        <v>1174</v>
      </c>
      <c r="G265" t="s">
        <v>1175</v>
      </c>
      <c r="H265" t="str">
        <f>"01905 723561"</f>
        <v>01905 723561</v>
      </c>
    </row>
    <row r="266" spans="1:8">
      <c r="A266" t="s">
        <v>1176</v>
      </c>
      <c r="B266" t="s">
        <v>1177</v>
      </c>
      <c r="C266" t="s">
        <v>1178</v>
      </c>
      <c r="D266" t="s">
        <v>1179</v>
      </c>
      <c r="E266" t="s">
        <v>1180</v>
      </c>
      <c r="F266" t="s">
        <v>1181</v>
      </c>
      <c r="G266" t="s">
        <v>1182</v>
      </c>
      <c r="H266" t="str">
        <f>"01604 210680"</f>
        <v>01604 210680</v>
      </c>
    </row>
    <row r="267" spans="1:8">
      <c r="A267" t="s">
        <v>1176</v>
      </c>
      <c r="B267" t="s">
        <v>1183</v>
      </c>
      <c r="C267" t="s">
        <v>1184</v>
      </c>
      <c r="D267" t="s">
        <v>1185</v>
      </c>
      <c r="E267" t="s">
        <v>990</v>
      </c>
      <c r="F267" t="s">
        <v>1186</v>
      </c>
      <c r="G267" t="s">
        <v>1182</v>
      </c>
      <c r="H267" t="str">
        <f>"01908 046310"</f>
        <v>01908 046310</v>
      </c>
    </row>
    <row r="268" spans="1:8">
      <c r="A268" t="s">
        <v>1176</v>
      </c>
      <c r="B268" t="s">
        <v>1188</v>
      </c>
      <c r="D268" t="s">
        <v>1187</v>
      </c>
      <c r="E268" t="s">
        <v>369</v>
      </c>
      <c r="F268" t="s">
        <v>1189</v>
      </c>
      <c r="G268" t="s">
        <v>1182</v>
      </c>
      <c r="H268" t="str">
        <f>"01480 277559 "</f>
        <v xml:space="preserve">01480 277559 </v>
      </c>
    </row>
    <row r="269" spans="1:8">
      <c r="A269" t="s">
        <v>1176</v>
      </c>
      <c r="B269" t="s">
        <v>1191</v>
      </c>
      <c r="C269" t="s">
        <v>1192</v>
      </c>
      <c r="D269" t="s">
        <v>1190</v>
      </c>
      <c r="F269" t="s">
        <v>1193</v>
      </c>
      <c r="G269" t="s">
        <v>1182</v>
      </c>
      <c r="H269" t="str">
        <f>"01234 383090"</f>
        <v>01234 383090</v>
      </c>
    </row>
    <row r="270" spans="1:8">
      <c r="A270" t="s">
        <v>1176</v>
      </c>
      <c r="B270" t="s">
        <v>1195</v>
      </c>
      <c r="C270" t="s">
        <v>1196</v>
      </c>
      <c r="D270" t="s">
        <v>1194</v>
      </c>
      <c r="E270" t="s">
        <v>1180</v>
      </c>
      <c r="F270" t="s">
        <v>1197</v>
      </c>
      <c r="G270" t="s">
        <v>1182</v>
      </c>
      <c r="H270" t="str">
        <f>"01536 904910"</f>
        <v>01536 904910</v>
      </c>
    </row>
    <row r="271" spans="1:8">
      <c r="A271" t="s">
        <v>1176</v>
      </c>
      <c r="B271" t="s">
        <v>1199</v>
      </c>
      <c r="D271" t="s">
        <v>1198</v>
      </c>
      <c r="E271" t="s">
        <v>1200</v>
      </c>
      <c r="F271" t="s">
        <v>1201</v>
      </c>
      <c r="G271" t="s">
        <v>1182</v>
      </c>
      <c r="H271" t="str">
        <f>"01926972072"</f>
        <v>01926972072</v>
      </c>
    </row>
    <row r="272" spans="1:8">
      <c r="A272" t="s">
        <v>1176</v>
      </c>
      <c r="B272" t="s">
        <v>1203</v>
      </c>
      <c r="C272" t="s">
        <v>1204</v>
      </c>
      <c r="D272" t="s">
        <v>1202</v>
      </c>
      <c r="E272" t="s">
        <v>1180</v>
      </c>
      <c r="F272" t="s">
        <v>1205</v>
      </c>
      <c r="G272" t="s">
        <v>1182</v>
      </c>
      <c r="H272" t="str">
        <f>"019033 426400"</f>
        <v>019033 426400</v>
      </c>
    </row>
    <row r="273" spans="1:8">
      <c r="A273" t="s">
        <v>1206</v>
      </c>
      <c r="B273" t="s">
        <v>1207</v>
      </c>
      <c r="C273" t="s">
        <v>1208</v>
      </c>
      <c r="D273" t="s">
        <v>1209</v>
      </c>
      <c r="E273" t="s">
        <v>410</v>
      </c>
      <c r="F273" t="s">
        <v>1210</v>
      </c>
      <c r="G273" t="s">
        <v>1211</v>
      </c>
      <c r="H273" t="str">
        <f>"01623 556601"</f>
        <v>01623 556601</v>
      </c>
    </row>
    <row r="274" spans="1:8">
      <c r="A274" t="s">
        <v>1206</v>
      </c>
      <c r="B274" t="s">
        <v>1212</v>
      </c>
      <c r="C274" t="s">
        <v>1213</v>
      </c>
      <c r="D274" t="s">
        <v>1214</v>
      </c>
      <c r="E274" t="s">
        <v>410</v>
      </c>
      <c r="F274" t="s">
        <v>1215</v>
      </c>
      <c r="G274" t="s">
        <v>1216</v>
      </c>
      <c r="H274" t="str">
        <f>"0115 9819214"</f>
        <v>0115 9819214</v>
      </c>
    </row>
    <row r="275" spans="1:8">
      <c r="A275" t="s">
        <v>1217</v>
      </c>
      <c r="B275" t="s">
        <v>1218</v>
      </c>
      <c r="C275" t="s">
        <v>1219</v>
      </c>
      <c r="D275" t="s">
        <v>892</v>
      </c>
      <c r="E275" t="s">
        <v>893</v>
      </c>
      <c r="F275" t="s">
        <v>1220</v>
      </c>
      <c r="G275" t="s">
        <v>1221</v>
      </c>
      <c r="H275" t="str">
        <f>"0151 264 7363"</f>
        <v>0151 264 7363</v>
      </c>
    </row>
    <row r="276" spans="1:8">
      <c r="A276" t="s">
        <v>1222</v>
      </c>
      <c r="B276" t="s">
        <v>1223</v>
      </c>
      <c r="C276" t="s">
        <v>1224</v>
      </c>
      <c r="D276" t="s">
        <v>1103</v>
      </c>
      <c r="E276" t="s">
        <v>106</v>
      </c>
      <c r="F276" t="s">
        <v>1225</v>
      </c>
      <c r="G276" t="s">
        <v>1226</v>
      </c>
      <c r="H276" t="str">
        <f>"01743 248148"</f>
        <v>01743 248148</v>
      </c>
    </row>
    <row r="277" spans="1:8">
      <c r="A277" t="s">
        <v>1222</v>
      </c>
      <c r="B277" t="s">
        <v>1227</v>
      </c>
      <c r="D277" t="s">
        <v>109</v>
      </c>
      <c r="E277" t="s">
        <v>106</v>
      </c>
      <c r="F277" t="s">
        <v>1228</v>
      </c>
      <c r="G277" t="s">
        <v>1226</v>
      </c>
      <c r="H277" t="str">
        <f>"01584 878456"</f>
        <v>01584 878456</v>
      </c>
    </row>
    <row r="278" spans="1:8">
      <c r="A278" t="s">
        <v>1222</v>
      </c>
      <c r="B278" t="s">
        <v>1230</v>
      </c>
      <c r="C278" t="s">
        <v>1231</v>
      </c>
      <c r="D278" t="s">
        <v>1229</v>
      </c>
      <c r="E278" t="s">
        <v>106</v>
      </c>
      <c r="F278" t="s">
        <v>1232</v>
      </c>
      <c r="G278" t="s">
        <v>1226</v>
      </c>
      <c r="H278" t="str">
        <f>"01694 723818"</f>
        <v>01694 723818</v>
      </c>
    </row>
    <row r="279" spans="1:8">
      <c r="A279" t="s">
        <v>1222</v>
      </c>
      <c r="B279" t="s">
        <v>1234</v>
      </c>
      <c r="D279" t="s">
        <v>1233</v>
      </c>
      <c r="E279" t="s">
        <v>1007</v>
      </c>
      <c r="F279" t="s">
        <v>1235</v>
      </c>
      <c r="G279" t="s">
        <v>1226</v>
      </c>
      <c r="H279" t="str">
        <f>"01547 528800"</f>
        <v>01547 528800</v>
      </c>
    </row>
    <row r="280" spans="1:8">
      <c r="A280" t="s">
        <v>1222</v>
      </c>
      <c r="B280" t="s">
        <v>1236</v>
      </c>
      <c r="D280" t="s">
        <v>104</v>
      </c>
      <c r="E280" t="s">
        <v>106</v>
      </c>
      <c r="F280" t="s">
        <v>1237</v>
      </c>
      <c r="G280" t="s">
        <v>1226</v>
      </c>
      <c r="H280" t="str">
        <f>"01952 403000"</f>
        <v>01952 403000</v>
      </c>
    </row>
    <row r="281" spans="1:8">
      <c r="A281" t="s">
        <v>1238</v>
      </c>
      <c r="B281" t="s">
        <v>1239</v>
      </c>
      <c r="C281" t="s">
        <v>1240</v>
      </c>
      <c r="F281" t="s">
        <v>1241</v>
      </c>
      <c r="G281" t="s">
        <v>1242</v>
      </c>
      <c r="H281" t="str">
        <f>"01623468468"</f>
        <v>01623468468</v>
      </c>
    </row>
    <row r="282" spans="1:8">
      <c r="A282" t="s">
        <v>1238</v>
      </c>
      <c r="B282" t="s">
        <v>1243</v>
      </c>
      <c r="D282" t="s">
        <v>409</v>
      </c>
      <c r="F282" t="s">
        <v>1244</v>
      </c>
      <c r="G282" t="s">
        <v>1242</v>
      </c>
      <c r="H282" t="str">
        <f>"0115 9105555"</f>
        <v>0115 9105555</v>
      </c>
    </row>
    <row r="283" spans="1:8">
      <c r="A283" t="s">
        <v>1238</v>
      </c>
      <c r="B283" t="s">
        <v>1245</v>
      </c>
      <c r="D283" t="s">
        <v>1246</v>
      </c>
      <c r="F283" t="s">
        <v>1247</v>
      </c>
      <c r="G283" t="s">
        <v>1242</v>
      </c>
      <c r="H283" t="str">
        <f>"01623688400"</f>
        <v>01623688400</v>
      </c>
    </row>
    <row r="284" spans="1:8">
      <c r="A284" t="s">
        <v>1238</v>
      </c>
      <c r="B284" t="s">
        <v>1248</v>
      </c>
      <c r="D284" t="s">
        <v>1249</v>
      </c>
      <c r="F284" t="s">
        <v>1210</v>
      </c>
      <c r="G284" t="s">
        <v>1242</v>
      </c>
      <c r="H284" t="str">
        <f>"01623 665050"</f>
        <v>01623 665050</v>
      </c>
    </row>
    <row r="285" spans="1:8">
      <c r="A285" t="s">
        <v>1238</v>
      </c>
      <c r="B285" t="s">
        <v>1251</v>
      </c>
      <c r="D285" t="s">
        <v>1250</v>
      </c>
      <c r="F285" t="s">
        <v>1252</v>
      </c>
      <c r="G285" t="s">
        <v>1253</v>
      </c>
      <c r="H285" t="str">
        <f>"01773530000"</f>
        <v>01773530000</v>
      </c>
    </row>
    <row r="286" spans="1:8">
      <c r="A286" t="s">
        <v>1254</v>
      </c>
      <c r="B286" t="s">
        <v>1255</v>
      </c>
      <c r="D286" t="s">
        <v>1256</v>
      </c>
      <c r="F286" t="s">
        <v>1257</v>
      </c>
      <c r="G286" t="s">
        <v>1258</v>
      </c>
      <c r="H286" t="str">
        <f>"01484 435543"</f>
        <v>01484 435543</v>
      </c>
    </row>
    <row r="287" spans="1:8">
      <c r="A287" t="s">
        <v>1254</v>
      </c>
      <c r="B287" t="s">
        <v>1259</v>
      </c>
      <c r="D287" t="s">
        <v>1260</v>
      </c>
      <c r="F287" t="s">
        <v>1261</v>
      </c>
      <c r="G287" t="s">
        <v>1262</v>
      </c>
      <c r="H287" t="str">
        <f>"0148468600"</f>
        <v>0148468600</v>
      </c>
    </row>
    <row r="288" spans="1:8">
      <c r="A288" t="s">
        <v>1254</v>
      </c>
      <c r="B288" t="s">
        <v>1264</v>
      </c>
      <c r="D288" t="s">
        <v>1263</v>
      </c>
      <c r="F288" t="s">
        <v>1265</v>
      </c>
      <c r="G288" t="s">
        <v>1266</v>
      </c>
      <c r="H288" t="str">
        <f>"01924 601043"</f>
        <v>01924 601043</v>
      </c>
    </row>
    <row r="289" spans="1:8">
      <c r="A289" t="s">
        <v>1267</v>
      </c>
      <c r="B289" t="s">
        <v>1268</v>
      </c>
      <c r="D289" t="s">
        <v>20</v>
      </c>
      <c r="E289" t="s">
        <v>1269</v>
      </c>
      <c r="F289" t="s">
        <v>1270</v>
      </c>
      <c r="G289" t="s">
        <v>1271</v>
      </c>
      <c r="H289" t="str">
        <f>"01905 612001"</f>
        <v>01905 612001</v>
      </c>
    </row>
    <row r="290" spans="1:8">
      <c r="A290" t="s">
        <v>1267</v>
      </c>
      <c r="B290" t="s">
        <v>1272</v>
      </c>
      <c r="D290" t="s">
        <v>158</v>
      </c>
      <c r="F290" t="s">
        <v>1273</v>
      </c>
      <c r="G290" t="s">
        <v>1271</v>
      </c>
      <c r="H290" t="str">
        <f>"01242 224422"</f>
        <v>01242 224422</v>
      </c>
    </row>
    <row r="291" spans="1:8">
      <c r="A291" t="s">
        <v>1267</v>
      </c>
      <c r="B291" t="s">
        <v>1274</v>
      </c>
      <c r="D291" t="s">
        <v>970</v>
      </c>
      <c r="F291" t="s">
        <v>1275</v>
      </c>
      <c r="G291" t="s">
        <v>1271</v>
      </c>
      <c r="H291" t="str">
        <f>"01432 349670"</f>
        <v>01432 349670</v>
      </c>
    </row>
    <row r="292" spans="1:8">
      <c r="A292" t="s">
        <v>1267</v>
      </c>
      <c r="B292" t="s">
        <v>1276</v>
      </c>
      <c r="D292" t="s">
        <v>1277</v>
      </c>
      <c r="F292" t="s">
        <v>1278</v>
      </c>
      <c r="G292" t="s">
        <v>1271</v>
      </c>
      <c r="H292" t="str">
        <f>"01989 562377"</f>
        <v>01989 562377</v>
      </c>
    </row>
    <row r="293" spans="1:8">
      <c r="A293" t="s">
        <v>1267</v>
      </c>
      <c r="B293" t="s">
        <v>1279</v>
      </c>
      <c r="D293" t="s">
        <v>379</v>
      </c>
      <c r="F293" t="s">
        <v>1280</v>
      </c>
      <c r="G293" t="s">
        <v>1271</v>
      </c>
      <c r="H293" t="str">
        <f>"01223 461155"</f>
        <v>01223 461155</v>
      </c>
    </row>
    <row r="294" spans="1:8">
      <c r="A294" t="s">
        <v>1267</v>
      </c>
      <c r="B294" t="s">
        <v>1281</v>
      </c>
      <c r="D294" t="s">
        <v>1179</v>
      </c>
      <c r="F294" t="s">
        <v>1282</v>
      </c>
      <c r="G294" t="s">
        <v>1271</v>
      </c>
      <c r="H294" t="str">
        <f>"01604 233233"</f>
        <v>01604 233233</v>
      </c>
    </row>
    <row r="295" spans="1:8">
      <c r="A295" t="s">
        <v>1267</v>
      </c>
      <c r="B295" t="s">
        <v>1283</v>
      </c>
      <c r="D295" t="s">
        <v>14</v>
      </c>
      <c r="F295" t="s">
        <v>1284</v>
      </c>
      <c r="G295" t="s">
        <v>1271</v>
      </c>
      <c r="H295" t="str">
        <f>"01214 560739"</f>
        <v>01214 560739</v>
      </c>
    </row>
    <row r="296" spans="1:8">
      <c r="A296" t="s">
        <v>1267</v>
      </c>
      <c r="B296" t="s">
        <v>1285</v>
      </c>
      <c r="D296" t="s">
        <v>57</v>
      </c>
      <c r="F296" t="s">
        <v>1286</v>
      </c>
      <c r="G296" t="s">
        <v>1271</v>
      </c>
      <c r="H296" t="str">
        <f>"0207 4896320"</f>
        <v>0207 4896320</v>
      </c>
    </row>
    <row r="297" spans="1:8">
      <c r="A297" t="s">
        <v>1267</v>
      </c>
      <c r="B297" t="s">
        <v>1287</v>
      </c>
      <c r="D297" t="s">
        <v>152</v>
      </c>
      <c r="F297" t="s">
        <v>1288</v>
      </c>
      <c r="G297" t="s">
        <v>1271</v>
      </c>
      <c r="H297" t="str">
        <f>"01189 111206"</f>
        <v>01189 111206</v>
      </c>
    </row>
    <row r="298" spans="1:8">
      <c r="A298" t="s">
        <v>1267</v>
      </c>
      <c r="B298" t="s">
        <v>1289</v>
      </c>
      <c r="D298" t="s">
        <v>303</v>
      </c>
      <c r="F298" t="s">
        <v>1290</v>
      </c>
      <c r="G298" t="s">
        <v>1271</v>
      </c>
      <c r="H298" t="str">
        <f>"02922 749200"</f>
        <v>02922 749200</v>
      </c>
    </row>
    <row r="299" spans="1:8">
      <c r="A299" t="s">
        <v>1267</v>
      </c>
      <c r="B299" t="s">
        <v>1291</v>
      </c>
      <c r="D299" t="s">
        <v>741</v>
      </c>
      <c r="F299" t="s">
        <v>1292</v>
      </c>
      <c r="G299" t="s">
        <v>1271</v>
      </c>
      <c r="H299" t="str">
        <f>"01223447475"</f>
        <v>01223447475</v>
      </c>
    </row>
    <row r="300" spans="1:8">
      <c r="A300" t="s">
        <v>1267</v>
      </c>
      <c r="B300" t="s">
        <v>1293</v>
      </c>
      <c r="D300" t="s">
        <v>1198</v>
      </c>
      <c r="E300" t="s">
        <v>1200</v>
      </c>
      <c r="F300" t="s">
        <v>1294</v>
      </c>
      <c r="G300" t="s">
        <v>1271</v>
      </c>
      <c r="H300" t="str">
        <f>"01926 886688 "</f>
        <v xml:space="preserve">01926 886688 </v>
      </c>
    </row>
    <row r="301" spans="1:8">
      <c r="A301" t="s">
        <v>1267</v>
      </c>
      <c r="B301" t="s">
        <v>1295</v>
      </c>
      <c r="C301" t="s">
        <v>1224</v>
      </c>
      <c r="D301" t="s">
        <v>1103</v>
      </c>
      <c r="F301" t="s">
        <v>1296</v>
      </c>
      <c r="G301" t="s">
        <v>1271</v>
      </c>
      <c r="H301" t="str">
        <f>"01905 612001"</f>
        <v>01905 612001</v>
      </c>
    </row>
    <row r="302" spans="1:8">
      <c r="A302" t="s">
        <v>1297</v>
      </c>
      <c r="B302" t="s">
        <v>1298</v>
      </c>
      <c r="D302" t="s">
        <v>1299</v>
      </c>
      <c r="E302" t="s">
        <v>1300</v>
      </c>
      <c r="F302" t="s">
        <v>1301</v>
      </c>
      <c r="G302" t="s">
        <v>1302</v>
      </c>
      <c r="H302" t="str">
        <f>"01706 525053"</f>
        <v>01706 525053</v>
      </c>
    </row>
    <row r="303" spans="1:8">
      <c r="A303" t="s">
        <v>1297</v>
      </c>
      <c r="B303" t="s">
        <v>1303</v>
      </c>
      <c r="D303" t="s">
        <v>1304</v>
      </c>
      <c r="F303" t="s">
        <v>1305</v>
      </c>
      <c r="G303" t="s">
        <v>1306</v>
      </c>
      <c r="H303" t="str">
        <f>"01706 818111"</f>
        <v>01706 818111</v>
      </c>
    </row>
    <row r="304" spans="1:8">
      <c r="A304" t="s">
        <v>1307</v>
      </c>
      <c r="B304" t="s">
        <v>1308</v>
      </c>
      <c r="D304" t="s">
        <v>1309</v>
      </c>
      <c r="F304" t="s">
        <v>1310</v>
      </c>
      <c r="G304" t="s">
        <v>1311</v>
      </c>
      <c r="H304" t="str">
        <f>"01695660875"</f>
        <v>01695660875</v>
      </c>
    </row>
    <row r="305" spans="1:8">
      <c r="A305" t="s">
        <v>1307</v>
      </c>
      <c r="B305" t="s">
        <v>1312</v>
      </c>
      <c r="D305" t="s">
        <v>1313</v>
      </c>
      <c r="F305" t="s">
        <v>1314</v>
      </c>
      <c r="G305" t="s">
        <v>1315</v>
      </c>
      <c r="H305" t="str">
        <f>"01942 944 155"</f>
        <v>01942 944 155</v>
      </c>
    </row>
    <row r="306" spans="1:8">
      <c r="A306" t="s">
        <v>1316</v>
      </c>
      <c r="B306" t="s">
        <v>1317</v>
      </c>
      <c r="D306" t="s">
        <v>1318</v>
      </c>
      <c r="E306" t="s">
        <v>1319</v>
      </c>
      <c r="F306" t="s">
        <v>1320</v>
      </c>
      <c r="G306" t="s">
        <v>1321</v>
      </c>
      <c r="H306" t="str">
        <f>"01724 854000"</f>
        <v>01724 854000</v>
      </c>
    </row>
    <row r="307" spans="1:8">
      <c r="A307" t="s">
        <v>1322</v>
      </c>
      <c r="B307" t="s">
        <v>1323</v>
      </c>
      <c r="C307" t="s">
        <v>1324</v>
      </c>
      <c r="D307" t="s">
        <v>1325</v>
      </c>
      <c r="E307" t="s">
        <v>1326</v>
      </c>
      <c r="F307" t="s">
        <v>1327</v>
      </c>
      <c r="G307" t="s">
        <v>1328</v>
      </c>
      <c r="H307" t="str">
        <f>"01383667550"</f>
        <v>01383667550</v>
      </c>
    </row>
    <row r="308" spans="1:8">
      <c r="A308" t="s">
        <v>1329</v>
      </c>
      <c r="B308" t="s">
        <v>1330</v>
      </c>
      <c r="D308" t="s">
        <v>1111</v>
      </c>
      <c r="F308" t="s">
        <v>1331</v>
      </c>
      <c r="G308" t="s">
        <v>1332</v>
      </c>
      <c r="H308" t="str">
        <f>"0116 350 3809"</f>
        <v>0116 350 3809</v>
      </c>
    </row>
    <row r="309" spans="1:8">
      <c r="A309" t="s">
        <v>1329</v>
      </c>
      <c r="B309" t="s">
        <v>1333</v>
      </c>
      <c r="D309" t="s">
        <v>57</v>
      </c>
      <c r="F309" t="s">
        <v>1334</v>
      </c>
      <c r="G309" t="s">
        <v>1332</v>
      </c>
      <c r="H309" t="str">
        <f>"0116 350 3809"</f>
        <v>0116 350 3809</v>
      </c>
    </row>
    <row r="310" spans="1:8">
      <c r="A310" t="s">
        <v>1335</v>
      </c>
      <c r="B310" t="s">
        <v>1336</v>
      </c>
      <c r="C310" t="s">
        <v>1337</v>
      </c>
      <c r="D310" t="s">
        <v>674</v>
      </c>
      <c r="E310" t="s">
        <v>280</v>
      </c>
      <c r="F310" t="s">
        <v>1338</v>
      </c>
      <c r="G310" t="s">
        <v>1339</v>
      </c>
      <c r="H310" t="str">
        <f>"0345 680 0277"</f>
        <v>0345 680 0277</v>
      </c>
    </row>
    <row r="311" spans="1:8">
      <c r="A311" t="s">
        <v>1335</v>
      </c>
      <c r="B311" t="s">
        <v>1340</v>
      </c>
      <c r="D311" t="s">
        <v>1341</v>
      </c>
      <c r="E311" t="s">
        <v>280</v>
      </c>
      <c r="F311" t="s">
        <v>1342</v>
      </c>
      <c r="G311" t="s">
        <v>1343</v>
      </c>
      <c r="H311" t="str">
        <f>"0345 680 0277"</f>
        <v>0345 680 0277</v>
      </c>
    </row>
    <row r="312" spans="1:8">
      <c r="A312" t="s">
        <v>1335</v>
      </c>
      <c r="B312" t="s">
        <v>1344</v>
      </c>
      <c r="D312" t="s">
        <v>1345</v>
      </c>
      <c r="F312" t="s">
        <v>1346</v>
      </c>
      <c r="G312" t="s">
        <v>1343</v>
      </c>
      <c r="H312" t="str">
        <f>"01423 502211"</f>
        <v>01423 502211</v>
      </c>
    </row>
    <row r="313" spans="1:8">
      <c r="A313" t="s">
        <v>1335</v>
      </c>
      <c r="B313" t="s">
        <v>1347</v>
      </c>
      <c r="D313" t="s">
        <v>355</v>
      </c>
      <c r="E313" t="s">
        <v>280</v>
      </c>
      <c r="F313" t="s">
        <v>1348</v>
      </c>
      <c r="G313" t="s">
        <v>1343</v>
      </c>
      <c r="H313" t="str">
        <f>"0113 2440876"</f>
        <v>0113 2440876</v>
      </c>
    </row>
    <row r="314" spans="1:8">
      <c r="A314" t="s">
        <v>1349</v>
      </c>
      <c r="B314" t="s">
        <v>1350</v>
      </c>
      <c r="C314" t="s">
        <v>1351</v>
      </c>
      <c r="D314" t="s">
        <v>668</v>
      </c>
      <c r="E314" t="s">
        <v>1352</v>
      </c>
      <c r="F314" t="s">
        <v>1353</v>
      </c>
      <c r="G314" t="s">
        <v>1354</v>
      </c>
      <c r="H314" t="str">
        <f>"01642 754050"</f>
        <v>01642 754050</v>
      </c>
    </row>
    <row r="315" spans="1:8">
      <c r="A315" t="s">
        <v>1355</v>
      </c>
      <c r="B315" t="s">
        <v>1356</v>
      </c>
      <c r="C315" t="s">
        <v>1357</v>
      </c>
      <c r="D315" t="s">
        <v>303</v>
      </c>
      <c r="E315" t="s">
        <v>1358</v>
      </c>
      <c r="F315" t="s">
        <v>1359</v>
      </c>
      <c r="G315" t="s">
        <v>1360</v>
      </c>
      <c r="H315" t="str">
        <f>"02920 345511"</f>
        <v>02920 345511</v>
      </c>
    </row>
    <row r="316" spans="1:8">
      <c r="A316" t="s">
        <v>1355</v>
      </c>
      <c r="B316" t="s">
        <v>1361</v>
      </c>
      <c r="C316" t="s">
        <v>1362</v>
      </c>
      <c r="D316" t="s">
        <v>1042</v>
      </c>
      <c r="E316" t="s">
        <v>1363</v>
      </c>
      <c r="F316" t="s">
        <v>1364</v>
      </c>
      <c r="G316" t="s">
        <v>1360</v>
      </c>
      <c r="H316" t="str">
        <f>"01656 645525"</f>
        <v>01656 645525</v>
      </c>
    </row>
    <row r="317" spans="1:8">
      <c r="A317" t="s">
        <v>1365</v>
      </c>
      <c r="B317" t="s">
        <v>1366</v>
      </c>
      <c r="D317" t="s">
        <v>57</v>
      </c>
      <c r="F317" t="s">
        <v>1367</v>
      </c>
      <c r="G317" t="s">
        <v>1368</v>
      </c>
      <c r="H317" t="str">
        <f>"0333 366 1418"</f>
        <v>0333 366 1418</v>
      </c>
    </row>
    <row r="318" spans="1:8">
      <c r="A318" t="s">
        <v>1365</v>
      </c>
      <c r="B318" t="s">
        <v>348</v>
      </c>
      <c r="D318" t="s">
        <v>14</v>
      </c>
      <c r="F318" t="s">
        <v>349</v>
      </c>
      <c r="G318" t="s">
        <v>1368</v>
      </c>
      <c r="H318" t="str">
        <f>"03338881350"</f>
        <v>03338881350</v>
      </c>
    </row>
    <row r="319" spans="1:8">
      <c r="A319" t="s">
        <v>1365</v>
      </c>
      <c r="B319" t="s">
        <v>1369</v>
      </c>
      <c r="C319" t="s">
        <v>1370</v>
      </c>
      <c r="D319" t="s">
        <v>1371</v>
      </c>
      <c r="E319" t="s">
        <v>1372</v>
      </c>
      <c r="F319" t="s">
        <v>1373</v>
      </c>
      <c r="G319" t="s">
        <v>1368</v>
      </c>
      <c r="H319" t="str">
        <f>"0333 336 1418 "</f>
        <v xml:space="preserve">0333 336 1418 </v>
      </c>
    </row>
    <row r="320" spans="1:8">
      <c r="A320" t="s">
        <v>1374</v>
      </c>
      <c r="B320" t="s">
        <v>1375</v>
      </c>
      <c r="D320" t="s">
        <v>1376</v>
      </c>
      <c r="E320" t="s">
        <v>292</v>
      </c>
      <c r="F320" t="s">
        <v>1377</v>
      </c>
      <c r="G320" t="s">
        <v>1378</v>
      </c>
      <c r="H320" t="str">
        <f>"01507 462882"</f>
        <v>01507 462882</v>
      </c>
    </row>
    <row r="321" spans="1:8">
      <c r="A321" t="s">
        <v>1374</v>
      </c>
      <c r="B321" t="s">
        <v>586</v>
      </c>
      <c r="D321" t="s">
        <v>1379</v>
      </c>
      <c r="E321" t="s">
        <v>292</v>
      </c>
      <c r="F321" t="s">
        <v>1380</v>
      </c>
      <c r="G321" t="s">
        <v>1381</v>
      </c>
      <c r="H321" t="str">
        <f>"01790 756810"</f>
        <v>01790 756810</v>
      </c>
    </row>
    <row r="322" spans="1:8">
      <c r="A322" t="s">
        <v>1374</v>
      </c>
      <c r="B322" t="s">
        <v>1382</v>
      </c>
      <c r="C322" t="s">
        <v>1383</v>
      </c>
      <c r="D322" t="s">
        <v>1384</v>
      </c>
      <c r="E322" t="s">
        <v>1385</v>
      </c>
      <c r="F322" t="s">
        <v>1386</v>
      </c>
      <c r="G322" t="s">
        <v>1387</v>
      </c>
      <c r="H322" t="str">
        <f>"01507 443043"</f>
        <v>01507 443043</v>
      </c>
    </row>
    <row r="323" spans="1:8">
      <c r="A323" t="s">
        <v>1388</v>
      </c>
      <c r="B323" t="s">
        <v>1389</v>
      </c>
      <c r="D323" t="s">
        <v>1390</v>
      </c>
      <c r="E323" t="s">
        <v>280</v>
      </c>
      <c r="F323" t="s">
        <v>1391</v>
      </c>
      <c r="G323" t="s">
        <v>1392</v>
      </c>
      <c r="H323" t="str">
        <f>"01977 732222"</f>
        <v>01977 732222</v>
      </c>
    </row>
    <row r="324" spans="1:8">
      <c r="A324" t="s">
        <v>1388</v>
      </c>
      <c r="B324" t="s">
        <v>1393</v>
      </c>
      <c r="D324" t="s">
        <v>1394</v>
      </c>
      <c r="E324" t="s">
        <v>280</v>
      </c>
      <c r="F324" t="s">
        <v>1395</v>
      </c>
      <c r="G324" t="s">
        <v>1396</v>
      </c>
      <c r="H324" t="str">
        <f>"01977732222"</f>
        <v>01977732222</v>
      </c>
    </row>
    <row r="325" spans="1:8">
      <c r="A325" t="s">
        <v>1397</v>
      </c>
      <c r="B325" t="s">
        <v>1398</v>
      </c>
      <c r="D325" t="s">
        <v>1399</v>
      </c>
      <c r="E325" t="s">
        <v>57</v>
      </c>
      <c r="F325" t="s">
        <v>1400</v>
      </c>
      <c r="G325" t="s">
        <v>1401</v>
      </c>
      <c r="H325" t="str">
        <f>"020 8994 7344"</f>
        <v>020 8994 7344</v>
      </c>
    </row>
    <row r="326" spans="1:8">
      <c r="A326" t="s">
        <v>1402</v>
      </c>
      <c r="B326" t="s">
        <v>1403</v>
      </c>
      <c r="D326" t="s">
        <v>1318</v>
      </c>
      <c r="F326" t="s">
        <v>1404</v>
      </c>
      <c r="G326" t="s">
        <v>1405</v>
      </c>
      <c r="H326" t="str">
        <f>"01724 786272"</f>
        <v>01724 786272</v>
      </c>
    </row>
    <row r="327" spans="1:8">
      <c r="A327" t="s">
        <v>1402</v>
      </c>
      <c r="B327" t="s">
        <v>1407</v>
      </c>
      <c r="D327" t="s">
        <v>1406</v>
      </c>
      <c r="F327" t="s">
        <v>1408</v>
      </c>
      <c r="G327" t="s">
        <v>1405</v>
      </c>
      <c r="H327" t="str">
        <f>"01724 786272"</f>
        <v>01724 786272</v>
      </c>
    </row>
    <row r="328" spans="1:8">
      <c r="A328" t="s">
        <v>1409</v>
      </c>
      <c r="B328" t="s">
        <v>1410</v>
      </c>
      <c r="D328" t="s">
        <v>1411</v>
      </c>
      <c r="E328" t="s">
        <v>1412</v>
      </c>
      <c r="F328" t="s">
        <v>1413</v>
      </c>
      <c r="G328" t="s">
        <v>1414</v>
      </c>
      <c r="H328" t="str">
        <f>"01473 219282"</f>
        <v>01473 219282</v>
      </c>
    </row>
    <row r="329" spans="1:8">
      <c r="A329" t="s">
        <v>1415</v>
      </c>
      <c r="B329" t="s">
        <v>1416</v>
      </c>
      <c r="D329" t="s">
        <v>1417</v>
      </c>
      <c r="F329" t="s">
        <v>1418</v>
      </c>
      <c r="G329" t="s">
        <v>1419</v>
      </c>
      <c r="H329" t="str">
        <f>"01708398851"</f>
        <v>01708398851</v>
      </c>
    </row>
    <row r="330" spans="1:8">
      <c r="A330" t="s">
        <v>1415</v>
      </c>
      <c r="B330" t="s">
        <v>1420</v>
      </c>
      <c r="C330" t="s">
        <v>1421</v>
      </c>
      <c r="D330" t="s">
        <v>1417</v>
      </c>
      <c r="F330" t="s">
        <v>1422</v>
      </c>
      <c r="G330" t="s">
        <v>1419</v>
      </c>
      <c r="H330" t="str">
        <f>"01708398851"</f>
        <v>01708398851</v>
      </c>
    </row>
    <row r="331" spans="1:8">
      <c r="A331" t="s">
        <v>1423</v>
      </c>
      <c r="B331" t="s">
        <v>1424</v>
      </c>
      <c r="C331" t="s">
        <v>1425</v>
      </c>
      <c r="D331" t="s">
        <v>1426</v>
      </c>
      <c r="E331" t="s">
        <v>1427</v>
      </c>
      <c r="F331" t="s">
        <v>1428</v>
      </c>
      <c r="G331" t="s">
        <v>1429</v>
      </c>
      <c r="H331" t="str">
        <f>"01482 326666"</f>
        <v>01482 326666</v>
      </c>
    </row>
    <row r="332" spans="1:8">
      <c r="A332" t="s">
        <v>1430</v>
      </c>
      <c r="B332" t="s">
        <v>1431</v>
      </c>
      <c r="D332" t="s">
        <v>1432</v>
      </c>
      <c r="F332" t="s">
        <v>1433</v>
      </c>
      <c r="G332" t="s">
        <v>1434</v>
      </c>
      <c r="H332" t="str">
        <f>"01268 240000"</f>
        <v>01268 240000</v>
      </c>
    </row>
    <row r="333" spans="1:8">
      <c r="A333" t="s">
        <v>1430</v>
      </c>
      <c r="B333" t="s">
        <v>1436</v>
      </c>
      <c r="C333" t="s">
        <v>1437</v>
      </c>
      <c r="D333" t="s">
        <v>1438</v>
      </c>
      <c r="F333" t="s">
        <v>1439</v>
      </c>
      <c r="G333" t="s">
        <v>1434</v>
      </c>
      <c r="H333" t="str">
        <f>"01375 484444"</f>
        <v>01375 484444</v>
      </c>
    </row>
    <row r="334" spans="1:8">
      <c r="A334" t="s">
        <v>1430</v>
      </c>
      <c r="B334" t="s">
        <v>1441</v>
      </c>
      <c r="C334" t="s">
        <v>1442</v>
      </c>
      <c r="D334" t="s">
        <v>1443</v>
      </c>
      <c r="F334" t="s">
        <v>1444</v>
      </c>
      <c r="G334" t="s">
        <v>1434</v>
      </c>
      <c r="H334" t="str">
        <f>"01245 322111"</f>
        <v>01245 322111</v>
      </c>
    </row>
    <row r="335" spans="1:8">
      <c r="A335" t="s">
        <v>1430</v>
      </c>
      <c r="B335" t="s">
        <v>1268</v>
      </c>
      <c r="D335" t="s">
        <v>1445</v>
      </c>
      <c r="F335" t="s">
        <v>1446</v>
      </c>
      <c r="G335" t="s">
        <v>1434</v>
      </c>
      <c r="H335" t="str">
        <f>"01268 988488"</f>
        <v>01268 988488</v>
      </c>
    </row>
    <row r="336" spans="1:8">
      <c r="A336" t="s">
        <v>1430</v>
      </c>
      <c r="B336" t="s">
        <v>1447</v>
      </c>
      <c r="D336" t="s">
        <v>1443</v>
      </c>
      <c r="F336" t="s">
        <v>1448</v>
      </c>
      <c r="G336" t="s">
        <v>1449</v>
      </c>
      <c r="H336" t="str">
        <f>"01245 320007"</f>
        <v>01245 320007</v>
      </c>
    </row>
    <row r="337" spans="1:8">
      <c r="A337" t="s">
        <v>1450</v>
      </c>
      <c r="B337" t="s">
        <v>1451</v>
      </c>
      <c r="D337" t="s">
        <v>57</v>
      </c>
      <c r="F337" t="s">
        <v>1452</v>
      </c>
      <c r="G337" t="s">
        <v>1453</v>
      </c>
      <c r="H337" t="str">
        <f>"02039927890"</f>
        <v>02039927890</v>
      </c>
    </row>
    <row r="338" spans="1:8">
      <c r="A338" t="s">
        <v>1454</v>
      </c>
      <c r="B338" t="s">
        <v>1455</v>
      </c>
      <c r="C338" t="s">
        <v>1456</v>
      </c>
      <c r="D338" t="s">
        <v>1457</v>
      </c>
      <c r="E338" t="s">
        <v>1458</v>
      </c>
      <c r="F338" t="s">
        <v>1459</v>
      </c>
      <c r="G338" t="s">
        <v>1460</v>
      </c>
      <c r="H338" t="str">
        <f>"0191 568 2050"</f>
        <v>0191 568 2050</v>
      </c>
    </row>
    <row r="339" spans="1:8">
      <c r="A339" t="s">
        <v>1454</v>
      </c>
      <c r="B339" t="s">
        <v>1461</v>
      </c>
      <c r="C339" t="s">
        <v>1462</v>
      </c>
      <c r="D339" t="s">
        <v>1463</v>
      </c>
      <c r="E339" t="s">
        <v>340</v>
      </c>
      <c r="F339" t="s">
        <v>1464</v>
      </c>
      <c r="G339" t="s">
        <v>1460</v>
      </c>
      <c r="H339" t="str">
        <f>"03459005401"</f>
        <v>03459005401</v>
      </c>
    </row>
    <row r="340" spans="1:8">
      <c r="A340" t="s">
        <v>1465</v>
      </c>
      <c r="B340" t="s">
        <v>1466</v>
      </c>
      <c r="C340" t="s">
        <v>1467</v>
      </c>
      <c r="D340" t="s">
        <v>1468</v>
      </c>
      <c r="E340" t="s">
        <v>121</v>
      </c>
      <c r="F340" t="s">
        <v>1469</v>
      </c>
      <c r="G340" t="s">
        <v>1470</v>
      </c>
      <c r="H340" t="str">
        <f>"01264 363354"</f>
        <v>01264 363354</v>
      </c>
    </row>
    <row r="341" spans="1:8">
      <c r="A341" t="s">
        <v>1471</v>
      </c>
      <c r="B341" t="s">
        <v>1472</v>
      </c>
      <c r="C341" t="s">
        <v>1473</v>
      </c>
      <c r="D341" t="s">
        <v>552</v>
      </c>
      <c r="E341" t="s">
        <v>309</v>
      </c>
      <c r="F341" t="s">
        <v>1474</v>
      </c>
      <c r="G341" t="s">
        <v>1475</v>
      </c>
      <c r="H341" t="str">
        <f>"01752 665037"</f>
        <v>01752 665037</v>
      </c>
    </row>
    <row r="342" spans="1:8">
      <c r="A342" t="s">
        <v>1471</v>
      </c>
      <c r="B342" t="s">
        <v>1477</v>
      </c>
      <c r="D342" t="s">
        <v>1476</v>
      </c>
      <c r="F342" t="s">
        <v>1478</v>
      </c>
      <c r="G342" t="s">
        <v>1479</v>
      </c>
      <c r="H342" t="str">
        <f>"01752 546448 "</f>
        <v xml:space="preserve">01752 546448 </v>
      </c>
    </row>
    <row r="343" spans="1:8">
      <c r="A343" t="s">
        <v>1471</v>
      </c>
      <c r="B343" t="s">
        <v>1480</v>
      </c>
      <c r="D343" t="s">
        <v>1481</v>
      </c>
      <c r="F343" t="s">
        <v>1482</v>
      </c>
      <c r="G343" t="s">
        <v>1479</v>
      </c>
      <c r="H343" t="str">
        <f>"01752 546448 "</f>
        <v xml:space="preserve">01752 546448 </v>
      </c>
    </row>
    <row r="344" spans="1:8">
      <c r="A344" t="s">
        <v>1483</v>
      </c>
      <c r="B344" t="s">
        <v>1484</v>
      </c>
      <c r="C344" t="s">
        <v>1485</v>
      </c>
      <c r="D344" t="s">
        <v>1486</v>
      </c>
      <c r="E344" t="s">
        <v>1487</v>
      </c>
      <c r="F344" t="s">
        <v>1488</v>
      </c>
      <c r="G344" t="s">
        <v>1489</v>
      </c>
      <c r="H344" t="str">
        <f>"0191 384 2441"</f>
        <v>0191 384 2441</v>
      </c>
    </row>
    <row r="345" spans="1:8">
      <c r="A345" t="s">
        <v>1490</v>
      </c>
      <c r="B345" t="s">
        <v>1491</v>
      </c>
      <c r="D345" t="s">
        <v>1492</v>
      </c>
      <c r="E345" t="s">
        <v>315</v>
      </c>
      <c r="F345" t="s">
        <v>1493</v>
      </c>
      <c r="G345" t="s">
        <v>1494</v>
      </c>
      <c r="H345" t="str">
        <f>"01625 531676"</f>
        <v>01625 531676</v>
      </c>
    </row>
    <row r="346" spans="1:8">
      <c r="A346" t="s">
        <v>1490</v>
      </c>
      <c r="B346" t="s">
        <v>1496</v>
      </c>
      <c r="C346" t="s">
        <v>1495</v>
      </c>
      <c r="D346" t="s">
        <v>1497</v>
      </c>
      <c r="E346" t="s">
        <v>1033</v>
      </c>
      <c r="F346" t="s">
        <v>1498</v>
      </c>
      <c r="G346" t="s">
        <v>1499</v>
      </c>
      <c r="H346" t="str">
        <f>"01663 743344"</f>
        <v>01663 743344</v>
      </c>
    </row>
    <row r="347" spans="1:8">
      <c r="A347" t="s">
        <v>1490</v>
      </c>
      <c r="B347" t="s">
        <v>1501</v>
      </c>
      <c r="C347" t="s">
        <v>1500</v>
      </c>
      <c r="D347" t="s">
        <v>297</v>
      </c>
      <c r="F347" t="s">
        <v>1502</v>
      </c>
      <c r="G347" t="s">
        <v>1503</v>
      </c>
      <c r="H347" t="str">
        <f>"0161 747 7321"</f>
        <v>0161 747 7321</v>
      </c>
    </row>
    <row r="348" spans="1:8">
      <c r="A348" t="s">
        <v>1504</v>
      </c>
      <c r="B348" t="s">
        <v>1505</v>
      </c>
      <c r="D348" t="s">
        <v>1506</v>
      </c>
      <c r="E348" t="s">
        <v>53</v>
      </c>
      <c r="F348" t="s">
        <v>1507</v>
      </c>
      <c r="G348" t="s">
        <v>1508</v>
      </c>
      <c r="H348" t="str">
        <f>"01594800123"</f>
        <v>01594800123</v>
      </c>
    </row>
    <row r="349" spans="1:8">
      <c r="A349" t="s">
        <v>1509</v>
      </c>
      <c r="B349" t="s">
        <v>1510</v>
      </c>
      <c r="D349" t="s">
        <v>1511</v>
      </c>
      <c r="E349" t="s">
        <v>309</v>
      </c>
      <c r="F349" t="s">
        <v>1512</v>
      </c>
      <c r="G349" t="s">
        <v>1513</v>
      </c>
      <c r="H349" t="str">
        <f>"01548 857000"</f>
        <v>01548 857000</v>
      </c>
    </row>
    <row r="350" spans="1:8">
      <c r="A350" t="s">
        <v>1509</v>
      </c>
      <c r="B350" t="s">
        <v>1514</v>
      </c>
      <c r="C350" t="s">
        <v>1515</v>
      </c>
      <c r="D350" t="s">
        <v>552</v>
      </c>
      <c r="E350" t="s">
        <v>309</v>
      </c>
      <c r="F350" t="s">
        <v>1516</v>
      </c>
      <c r="G350" t="s">
        <v>1517</v>
      </c>
      <c r="H350" t="str">
        <f>"01752 246000"</f>
        <v>01752 246000</v>
      </c>
    </row>
    <row r="351" spans="1:8">
      <c r="A351" t="s">
        <v>1518</v>
      </c>
      <c r="B351" t="s">
        <v>1519</v>
      </c>
      <c r="D351" t="s">
        <v>1520</v>
      </c>
      <c r="F351" t="s">
        <v>1521</v>
      </c>
      <c r="G351" t="s">
        <v>1522</v>
      </c>
      <c r="H351" t="str">
        <f>"01422 412412"</f>
        <v>01422 412412</v>
      </c>
    </row>
    <row r="352" spans="1:8">
      <c r="A352" t="s">
        <v>1523</v>
      </c>
      <c r="B352" t="s">
        <v>1524</v>
      </c>
      <c r="C352" t="s">
        <v>1525</v>
      </c>
      <c r="D352" t="s">
        <v>892</v>
      </c>
      <c r="E352" t="s">
        <v>893</v>
      </c>
      <c r="F352" t="s">
        <v>1526</v>
      </c>
      <c r="G352" t="s">
        <v>1527</v>
      </c>
      <c r="H352" t="str">
        <f>"0151 458 2624"</f>
        <v>0151 458 2624</v>
      </c>
    </row>
    <row r="353" spans="1:8">
      <c r="A353" t="s">
        <v>1528</v>
      </c>
      <c r="B353" t="s">
        <v>1529</v>
      </c>
      <c r="D353" t="s">
        <v>1530</v>
      </c>
      <c r="E353" t="s">
        <v>121</v>
      </c>
      <c r="F353" t="s">
        <v>1531</v>
      </c>
      <c r="G353" t="s">
        <v>1532</v>
      </c>
      <c r="H353" t="str">
        <f>"01794 512345"</f>
        <v>01794 512345</v>
      </c>
    </row>
    <row r="354" spans="1:8">
      <c r="A354" t="s">
        <v>1528</v>
      </c>
      <c r="B354" t="s">
        <v>1534</v>
      </c>
      <c r="D354" t="s">
        <v>1533</v>
      </c>
      <c r="E354" t="s">
        <v>121</v>
      </c>
      <c r="F354" t="s">
        <v>1535</v>
      </c>
      <c r="G354" t="s">
        <v>1536</v>
      </c>
      <c r="H354" t="str">
        <f>"02380 332991"</f>
        <v>02380 332991</v>
      </c>
    </row>
    <row r="355" spans="1:8">
      <c r="A355" t="s">
        <v>1528</v>
      </c>
      <c r="B355" t="s">
        <v>1538</v>
      </c>
      <c r="C355" t="s">
        <v>1539</v>
      </c>
      <c r="D355" t="s">
        <v>1533</v>
      </c>
      <c r="F355" t="s">
        <v>1540</v>
      </c>
      <c r="G355" t="s">
        <v>1536</v>
      </c>
      <c r="H355" t="str">
        <f>"02380 863493"</f>
        <v>02380 863493</v>
      </c>
    </row>
    <row r="356" spans="1:8">
      <c r="A356" t="s">
        <v>1528</v>
      </c>
      <c r="B356" t="s">
        <v>1542</v>
      </c>
      <c r="D356" t="s">
        <v>124</v>
      </c>
      <c r="F356" t="s">
        <v>1543</v>
      </c>
      <c r="G356" t="s">
        <v>1544</v>
      </c>
      <c r="H356" t="str">
        <f>"02382 148800"</f>
        <v>02382 148800</v>
      </c>
    </row>
    <row r="357" spans="1:8">
      <c r="A357" t="s">
        <v>1545</v>
      </c>
      <c r="B357" t="s">
        <v>1546</v>
      </c>
      <c r="C357" t="s">
        <v>1547</v>
      </c>
      <c r="D357" t="s">
        <v>505</v>
      </c>
      <c r="F357" t="s">
        <v>1548</v>
      </c>
      <c r="G357" t="s">
        <v>1549</v>
      </c>
      <c r="H357" t="str">
        <f>"01903 205771"</f>
        <v>01903 205771</v>
      </c>
    </row>
    <row r="358" spans="1:8">
      <c r="A358" t="s">
        <v>1550</v>
      </c>
      <c r="B358" t="s">
        <v>1551</v>
      </c>
      <c r="C358" t="s">
        <v>1552</v>
      </c>
      <c r="D358" t="s">
        <v>1553</v>
      </c>
      <c r="E358" t="s">
        <v>164</v>
      </c>
      <c r="F358" t="s">
        <v>1554</v>
      </c>
      <c r="G358" t="s">
        <v>1555</v>
      </c>
      <c r="H358" t="str">
        <f>"01202 525333"</f>
        <v>01202 525333</v>
      </c>
    </row>
    <row r="359" spans="1:8">
      <c r="A359" t="s">
        <v>1550</v>
      </c>
      <c r="B359" t="s">
        <v>1556</v>
      </c>
      <c r="D359" t="s">
        <v>163</v>
      </c>
      <c r="E359" t="s">
        <v>1557</v>
      </c>
      <c r="F359" t="s">
        <v>1558</v>
      </c>
      <c r="G359" t="s">
        <v>1555</v>
      </c>
      <c r="H359" t="str">
        <f>"01202 709898"</f>
        <v>01202 709898</v>
      </c>
    </row>
    <row r="360" spans="1:8">
      <c r="A360" t="s">
        <v>1550</v>
      </c>
      <c r="B360" t="s">
        <v>1560</v>
      </c>
      <c r="D360" t="s">
        <v>1559</v>
      </c>
      <c r="E360" t="s">
        <v>1561</v>
      </c>
      <c r="F360" t="s">
        <v>1562</v>
      </c>
      <c r="G360" t="s">
        <v>1555</v>
      </c>
      <c r="H360" t="str">
        <f>"01425 484848"</f>
        <v>01425 484848</v>
      </c>
    </row>
    <row r="361" spans="1:8">
      <c r="A361" t="s">
        <v>1550</v>
      </c>
      <c r="B361" t="s">
        <v>1564</v>
      </c>
      <c r="D361" t="s">
        <v>1563</v>
      </c>
      <c r="E361" t="s">
        <v>1557</v>
      </c>
      <c r="F361" t="s">
        <v>1565</v>
      </c>
      <c r="G361" t="s">
        <v>1555</v>
      </c>
      <c r="H361" t="str">
        <f>"01929 422233"</f>
        <v>01929 422233</v>
      </c>
    </row>
    <row r="362" spans="1:8">
      <c r="A362" t="s">
        <v>1550</v>
      </c>
      <c r="B362" t="s">
        <v>1567</v>
      </c>
      <c r="D362" t="s">
        <v>1566</v>
      </c>
      <c r="E362" t="s">
        <v>164</v>
      </c>
      <c r="F362" t="s">
        <v>1568</v>
      </c>
      <c r="G362" t="s">
        <v>1555</v>
      </c>
      <c r="H362" t="str">
        <f>"01202 057676"</f>
        <v>01202 057676</v>
      </c>
    </row>
    <row r="363" spans="1:8">
      <c r="A363" t="s">
        <v>1550</v>
      </c>
      <c r="B363" t="s">
        <v>1569</v>
      </c>
      <c r="D363" t="s">
        <v>1566</v>
      </c>
      <c r="F363" t="s">
        <v>1570</v>
      </c>
      <c r="G363" t="s">
        <v>1571</v>
      </c>
      <c r="H363" t="str">
        <f>"01202888300"</f>
        <v>01202888300</v>
      </c>
    </row>
    <row r="364" spans="1:8">
      <c r="A364" t="s">
        <v>1550</v>
      </c>
      <c r="B364" t="s">
        <v>1573</v>
      </c>
      <c r="C364" t="s">
        <v>1574</v>
      </c>
      <c r="D364" t="s">
        <v>1572</v>
      </c>
      <c r="F364" t="s">
        <v>1575</v>
      </c>
      <c r="G364" t="s">
        <v>1576</v>
      </c>
      <c r="H364" t="str">
        <f>"01305 559010"</f>
        <v>01305 559010</v>
      </c>
    </row>
    <row r="365" spans="1:8">
      <c r="A365" t="s">
        <v>1550</v>
      </c>
      <c r="B365" t="s">
        <v>1577</v>
      </c>
      <c r="D365" t="s">
        <v>57</v>
      </c>
      <c r="F365" t="s">
        <v>1578</v>
      </c>
      <c r="G365" t="s">
        <v>1579</v>
      </c>
      <c r="H365" t="str">
        <f>"02039784720"</f>
        <v>02039784720</v>
      </c>
    </row>
    <row r="366" spans="1:8">
      <c r="A366" t="s">
        <v>1580</v>
      </c>
      <c r="B366" t="s">
        <v>1581</v>
      </c>
      <c r="C366" t="s">
        <v>1582</v>
      </c>
      <c r="D366" t="s">
        <v>1583</v>
      </c>
      <c r="E366" t="s">
        <v>369</v>
      </c>
      <c r="F366" t="s">
        <v>1584</v>
      </c>
      <c r="G366" t="s">
        <v>1585</v>
      </c>
      <c r="H366" t="str">
        <f>"01733 667640"</f>
        <v>01733 667640</v>
      </c>
    </row>
    <row r="367" spans="1:8">
      <c r="A367" t="s">
        <v>1586</v>
      </c>
      <c r="B367" t="s">
        <v>1587</v>
      </c>
      <c r="D367" t="s">
        <v>355</v>
      </c>
      <c r="E367" t="s">
        <v>280</v>
      </c>
      <c r="F367" t="s">
        <v>1588</v>
      </c>
      <c r="G367" t="s">
        <v>1589</v>
      </c>
      <c r="H367" t="str">
        <f>"0113 244 9931"</f>
        <v>0113 244 9931</v>
      </c>
    </row>
    <row r="368" spans="1:8">
      <c r="A368" t="s">
        <v>1586</v>
      </c>
      <c r="B368" t="s">
        <v>1590</v>
      </c>
      <c r="C368" t="s">
        <v>1591</v>
      </c>
      <c r="D368" t="s">
        <v>355</v>
      </c>
      <c r="F368" t="s">
        <v>1592</v>
      </c>
      <c r="G368" t="s">
        <v>1593</v>
      </c>
      <c r="H368" t="str">
        <f>"01132449931"</f>
        <v>01132449931</v>
      </c>
    </row>
    <row r="369" spans="1:8">
      <c r="A369" t="s">
        <v>1594</v>
      </c>
      <c r="B369" t="s">
        <v>1595</v>
      </c>
      <c r="C369" t="s">
        <v>1596</v>
      </c>
      <c r="D369" t="s">
        <v>892</v>
      </c>
      <c r="F369" t="s">
        <v>1597</v>
      </c>
      <c r="G369" t="s">
        <v>1598</v>
      </c>
      <c r="H369" t="str">
        <f>"0151 4805777"</f>
        <v>0151 4805777</v>
      </c>
    </row>
    <row r="370" spans="1:8">
      <c r="A370" t="s">
        <v>1594</v>
      </c>
      <c r="B370" t="s">
        <v>1600</v>
      </c>
      <c r="D370" t="s">
        <v>1599</v>
      </c>
      <c r="F370" t="s">
        <v>1601</v>
      </c>
      <c r="G370" t="s">
        <v>1602</v>
      </c>
      <c r="H370" t="str">
        <f>"01514233661"</f>
        <v>01514233661</v>
      </c>
    </row>
    <row r="371" spans="1:8">
      <c r="A371" t="s">
        <v>1594</v>
      </c>
      <c r="B371" t="s">
        <v>1604</v>
      </c>
      <c r="D371" t="s">
        <v>1603</v>
      </c>
      <c r="F371" t="s">
        <v>1605</v>
      </c>
      <c r="G371" t="s">
        <v>1598</v>
      </c>
      <c r="H371" t="str">
        <f>"01928711119"</f>
        <v>01928711119</v>
      </c>
    </row>
    <row r="372" spans="1:8">
      <c r="A372" t="s">
        <v>1606</v>
      </c>
      <c r="B372" t="s">
        <v>1607</v>
      </c>
      <c r="C372" t="s">
        <v>1608</v>
      </c>
      <c r="D372" t="s">
        <v>104</v>
      </c>
      <c r="E372" t="s">
        <v>106</v>
      </c>
      <c r="F372" t="s">
        <v>1609</v>
      </c>
      <c r="G372" t="s">
        <v>1610</v>
      </c>
      <c r="H372" t="str">
        <f>"01952 641291"</f>
        <v>01952 641291</v>
      </c>
    </row>
    <row r="373" spans="1:8">
      <c r="A373" t="s">
        <v>1606</v>
      </c>
      <c r="B373" t="s">
        <v>1611</v>
      </c>
      <c r="D373" t="s">
        <v>1612</v>
      </c>
      <c r="E373" t="s">
        <v>106</v>
      </c>
      <c r="F373" t="s">
        <v>1613</v>
      </c>
      <c r="G373" t="s">
        <v>1614</v>
      </c>
      <c r="H373" t="str">
        <f>"01952 460777"</f>
        <v>01952 460777</v>
      </c>
    </row>
    <row r="374" spans="1:8">
      <c r="A374" t="s">
        <v>1606</v>
      </c>
      <c r="B374" t="s">
        <v>1615</v>
      </c>
      <c r="D374" t="s">
        <v>1616</v>
      </c>
      <c r="F374" t="s">
        <v>1617</v>
      </c>
      <c r="G374" t="s">
        <v>1618</v>
      </c>
      <c r="H374" t="str">
        <f>"01952 979 700"</f>
        <v>01952 979 700</v>
      </c>
    </row>
    <row r="375" spans="1:8">
      <c r="A375" t="s">
        <v>1619</v>
      </c>
      <c r="B375" t="s">
        <v>1620</v>
      </c>
      <c r="C375" t="s">
        <v>1621</v>
      </c>
      <c r="D375" t="s">
        <v>1622</v>
      </c>
      <c r="E375" t="s">
        <v>164</v>
      </c>
      <c r="F375" t="s">
        <v>1623</v>
      </c>
      <c r="G375" t="s">
        <v>1624</v>
      </c>
      <c r="H375" t="str">
        <f>"01929 552141"</f>
        <v>01929 552141</v>
      </c>
    </row>
    <row r="376" spans="1:8">
      <c r="A376" t="s">
        <v>1619</v>
      </c>
      <c r="B376" t="s">
        <v>1625</v>
      </c>
      <c r="D376" t="s">
        <v>1553</v>
      </c>
      <c r="E376" t="s">
        <v>1626</v>
      </c>
      <c r="F376" t="s">
        <v>1627</v>
      </c>
      <c r="G376" t="s">
        <v>1624</v>
      </c>
      <c r="H376" t="str">
        <f>"01202 421111"</f>
        <v>01202 421111</v>
      </c>
    </row>
    <row r="377" spans="1:8">
      <c r="A377" t="s">
        <v>1619</v>
      </c>
      <c r="B377" t="s">
        <v>1628</v>
      </c>
      <c r="D377" t="s">
        <v>1629</v>
      </c>
      <c r="E377" t="s">
        <v>1630</v>
      </c>
      <c r="F377" t="s">
        <v>1631</v>
      </c>
      <c r="G377" t="s">
        <v>1624</v>
      </c>
      <c r="H377" t="str">
        <f>"01460 279100"</f>
        <v>01460 279100</v>
      </c>
    </row>
    <row r="378" spans="1:8">
      <c r="A378" t="s">
        <v>1619</v>
      </c>
      <c r="B378" t="s">
        <v>1632</v>
      </c>
      <c r="D378" t="s">
        <v>1572</v>
      </c>
      <c r="E378" t="s">
        <v>164</v>
      </c>
      <c r="F378" t="s">
        <v>1633</v>
      </c>
      <c r="G378" t="s">
        <v>1624</v>
      </c>
      <c r="H378" t="str">
        <f>"01305 251007"</f>
        <v>01305 251007</v>
      </c>
    </row>
    <row r="379" spans="1:8">
      <c r="A379" t="s">
        <v>1619</v>
      </c>
      <c r="B379" t="s">
        <v>1634</v>
      </c>
      <c r="D379" t="s">
        <v>1635</v>
      </c>
      <c r="E379" t="s">
        <v>164</v>
      </c>
      <c r="F379" t="s">
        <v>1636</v>
      </c>
      <c r="G379" t="s">
        <v>1624</v>
      </c>
      <c r="H379" t="str">
        <f>"01929 423301"</f>
        <v>01929 423301</v>
      </c>
    </row>
    <row r="380" spans="1:8">
      <c r="A380" t="s">
        <v>1619</v>
      </c>
      <c r="B380" t="s">
        <v>1637</v>
      </c>
      <c r="D380" t="s">
        <v>1638</v>
      </c>
      <c r="F380" t="s">
        <v>1639</v>
      </c>
      <c r="G380" t="s">
        <v>1640</v>
      </c>
      <c r="H380" t="str">
        <f>"01202 725400"</f>
        <v>01202 725400</v>
      </c>
    </row>
    <row r="381" spans="1:8">
      <c r="A381" t="s">
        <v>1619</v>
      </c>
      <c r="B381" t="s">
        <v>1641</v>
      </c>
      <c r="C381" t="s">
        <v>1642</v>
      </c>
      <c r="D381" t="s">
        <v>1643</v>
      </c>
      <c r="E381" t="s">
        <v>1644</v>
      </c>
      <c r="F381" t="s">
        <v>1645</v>
      </c>
      <c r="G381" t="s">
        <v>1624</v>
      </c>
      <c r="H381" t="str">
        <f>"01258 442 444 "</f>
        <v xml:space="preserve">01258 442 444 </v>
      </c>
    </row>
    <row r="382" spans="1:8">
      <c r="A382" t="s">
        <v>1646</v>
      </c>
      <c r="B382" t="s">
        <v>1647</v>
      </c>
      <c r="D382" t="s">
        <v>1648</v>
      </c>
      <c r="E382" t="s">
        <v>309</v>
      </c>
      <c r="F382" t="s">
        <v>1649</v>
      </c>
      <c r="G382" t="s">
        <v>1650</v>
      </c>
      <c r="H382" t="str">
        <f>"01237 479121"</f>
        <v>01237 479121</v>
      </c>
    </row>
    <row r="383" spans="1:8">
      <c r="A383" t="s">
        <v>1651</v>
      </c>
      <c r="B383" t="s">
        <v>1652</v>
      </c>
      <c r="D383" t="s">
        <v>1256</v>
      </c>
      <c r="E383" t="s">
        <v>280</v>
      </c>
      <c r="F383" t="s">
        <v>1653</v>
      </c>
      <c r="G383" t="s">
        <v>1654</v>
      </c>
      <c r="H383" t="str">
        <f>"01484542999"</f>
        <v>01484542999</v>
      </c>
    </row>
    <row r="384" spans="1:8">
      <c r="A384" t="s">
        <v>1651</v>
      </c>
      <c r="B384" t="s">
        <v>1655</v>
      </c>
      <c r="D384" t="s">
        <v>674</v>
      </c>
      <c r="E384" t="s">
        <v>280</v>
      </c>
      <c r="F384" t="s">
        <v>1656</v>
      </c>
      <c r="G384" t="s">
        <v>1657</v>
      </c>
      <c r="H384" t="str">
        <f>"01274559565"</f>
        <v>01274559565</v>
      </c>
    </row>
    <row r="385" spans="1:8">
      <c r="A385" t="s">
        <v>1658</v>
      </c>
      <c r="B385" t="s">
        <v>1659</v>
      </c>
      <c r="C385" t="s">
        <v>1660</v>
      </c>
      <c r="D385" t="s">
        <v>1443</v>
      </c>
      <c r="E385" t="s">
        <v>736</v>
      </c>
      <c r="F385" t="s">
        <v>1661</v>
      </c>
      <c r="G385" t="s">
        <v>1662</v>
      </c>
      <c r="H385" t="str">
        <f>"03000200009"</f>
        <v>03000200009</v>
      </c>
    </row>
    <row r="386" spans="1:8">
      <c r="A386" t="s">
        <v>1663</v>
      </c>
      <c r="B386" t="s">
        <v>1664</v>
      </c>
      <c r="D386" t="s">
        <v>1665</v>
      </c>
      <c r="E386" t="s">
        <v>67</v>
      </c>
      <c r="F386" t="s">
        <v>1666</v>
      </c>
      <c r="G386" t="s">
        <v>1667</v>
      </c>
      <c r="H386" t="str">
        <f>"01229 820021"</f>
        <v>01229 820021</v>
      </c>
    </row>
    <row r="387" spans="1:8">
      <c r="A387" t="s">
        <v>1668</v>
      </c>
      <c r="B387" t="s">
        <v>1669</v>
      </c>
      <c r="C387" t="s">
        <v>495</v>
      </c>
      <c r="D387" t="s">
        <v>1670</v>
      </c>
      <c r="E387" t="s">
        <v>1671</v>
      </c>
      <c r="F387" t="s">
        <v>1672</v>
      </c>
      <c r="G387" t="s">
        <v>1673</v>
      </c>
      <c r="H387" t="str">
        <f>"01902 894187"</f>
        <v>01902 894187</v>
      </c>
    </row>
    <row r="388" spans="1:8">
      <c r="A388" t="s">
        <v>1668</v>
      </c>
      <c r="B388" t="s">
        <v>1675</v>
      </c>
      <c r="D388" t="s">
        <v>1674</v>
      </c>
      <c r="E388" t="s">
        <v>16</v>
      </c>
      <c r="F388" t="s">
        <v>1676</v>
      </c>
      <c r="G388" t="s">
        <v>1673</v>
      </c>
      <c r="H388" t="str">
        <f>"01384 79731"</f>
        <v>01384 79731</v>
      </c>
    </row>
    <row r="389" spans="1:8">
      <c r="A389" t="s">
        <v>1677</v>
      </c>
      <c r="B389" t="s">
        <v>1678</v>
      </c>
      <c r="C389" t="s">
        <v>1679</v>
      </c>
      <c r="D389" t="s">
        <v>57</v>
      </c>
      <c r="F389" t="s">
        <v>1680</v>
      </c>
      <c r="G389" t="s">
        <v>1681</v>
      </c>
      <c r="H389" t="str">
        <f>"02046188080"</f>
        <v>02046188080</v>
      </c>
    </row>
    <row r="390" spans="1:8">
      <c r="A390" t="s">
        <v>1682</v>
      </c>
      <c r="B390" t="s">
        <v>1683</v>
      </c>
      <c r="D390" t="s">
        <v>835</v>
      </c>
      <c r="E390" t="s">
        <v>132</v>
      </c>
      <c r="F390" t="s">
        <v>1684</v>
      </c>
      <c r="G390" t="s">
        <v>1685</v>
      </c>
      <c r="H390" t="str">
        <f>"01253 293106"</f>
        <v>01253 293106</v>
      </c>
    </row>
    <row r="391" spans="1:8">
      <c r="A391" t="s">
        <v>1682</v>
      </c>
      <c r="B391" t="s">
        <v>1686</v>
      </c>
      <c r="D391" t="s">
        <v>1687</v>
      </c>
      <c r="E391" t="s">
        <v>132</v>
      </c>
      <c r="F391" t="s">
        <v>1688</v>
      </c>
      <c r="G391" t="s">
        <v>1689</v>
      </c>
      <c r="H391" t="str">
        <f>"01253 730070"</f>
        <v>01253 730070</v>
      </c>
    </row>
    <row r="392" spans="1:8">
      <c r="A392" t="s">
        <v>1690</v>
      </c>
      <c r="B392" t="s">
        <v>1691</v>
      </c>
      <c r="C392" t="s">
        <v>1692</v>
      </c>
      <c r="D392" t="s">
        <v>1693</v>
      </c>
      <c r="E392" t="s">
        <v>736</v>
      </c>
      <c r="F392" t="s">
        <v>1694</v>
      </c>
      <c r="G392" t="s">
        <v>1695</v>
      </c>
      <c r="H392" t="str">
        <f>"01279 439439"</f>
        <v>01279 439439</v>
      </c>
    </row>
    <row r="393" spans="1:8">
      <c r="A393" t="s">
        <v>1690</v>
      </c>
      <c r="B393" t="s">
        <v>1696</v>
      </c>
      <c r="D393" t="s">
        <v>1697</v>
      </c>
      <c r="E393" t="s">
        <v>736</v>
      </c>
      <c r="F393" t="s">
        <v>1698</v>
      </c>
      <c r="G393" t="s">
        <v>1699</v>
      </c>
      <c r="H393" t="str">
        <f>"01992 561111"</f>
        <v>01992 561111</v>
      </c>
    </row>
    <row r="394" spans="1:8">
      <c r="A394" t="s">
        <v>1690</v>
      </c>
      <c r="B394" t="s">
        <v>1700</v>
      </c>
      <c r="D394" t="s">
        <v>1701</v>
      </c>
      <c r="E394" t="s">
        <v>184</v>
      </c>
      <c r="F394" t="s">
        <v>1702</v>
      </c>
      <c r="G394" t="s">
        <v>1699</v>
      </c>
      <c r="H394" t="str">
        <f>"01279 501550"</f>
        <v>01279 501550</v>
      </c>
    </row>
    <row r="395" spans="1:8">
      <c r="A395" t="s">
        <v>1703</v>
      </c>
      <c r="B395" t="s">
        <v>1704</v>
      </c>
      <c r="C395" t="s">
        <v>1705</v>
      </c>
      <c r="D395" t="s">
        <v>339</v>
      </c>
      <c r="F395" t="s">
        <v>341</v>
      </c>
      <c r="G395" t="s">
        <v>1706</v>
      </c>
      <c r="H395" t="str">
        <f>"01914270770"</f>
        <v>01914270770</v>
      </c>
    </row>
    <row r="396" spans="1:8">
      <c r="A396" t="s">
        <v>1707</v>
      </c>
      <c r="B396" t="s">
        <v>1708</v>
      </c>
      <c r="C396" t="s">
        <v>1709</v>
      </c>
      <c r="D396" t="s">
        <v>1710</v>
      </c>
      <c r="F396" t="s">
        <v>1711</v>
      </c>
      <c r="G396" t="s">
        <v>1712</v>
      </c>
      <c r="H396" t="str">
        <f>"01789 292238"</f>
        <v>01789 292238</v>
      </c>
    </row>
    <row r="397" spans="1:8">
      <c r="A397" t="s">
        <v>1707</v>
      </c>
      <c r="B397" t="s">
        <v>1714</v>
      </c>
      <c r="D397" t="s">
        <v>1713</v>
      </c>
      <c r="E397" t="s">
        <v>1715</v>
      </c>
      <c r="F397" t="s">
        <v>1716</v>
      </c>
      <c r="G397" t="s">
        <v>1712</v>
      </c>
      <c r="H397" t="str">
        <f>"01789 654 900"</f>
        <v>01789 654 900</v>
      </c>
    </row>
    <row r="398" spans="1:8">
      <c r="A398" t="s">
        <v>1707</v>
      </c>
      <c r="B398" t="s">
        <v>1717</v>
      </c>
      <c r="D398" t="s">
        <v>199</v>
      </c>
      <c r="F398" t="s">
        <v>1718</v>
      </c>
      <c r="G398" t="s">
        <v>1712</v>
      </c>
      <c r="H398" t="str">
        <f>"01428 642321"</f>
        <v>01428 642321</v>
      </c>
    </row>
    <row r="399" spans="1:8">
      <c r="A399" t="s">
        <v>1707</v>
      </c>
      <c r="B399" t="s">
        <v>1719</v>
      </c>
      <c r="D399" t="s">
        <v>1720</v>
      </c>
      <c r="F399" t="s">
        <v>1721</v>
      </c>
      <c r="G399" t="s">
        <v>1712</v>
      </c>
      <c r="H399" t="str">
        <f>"01282 964758"</f>
        <v>01282 964758</v>
      </c>
    </row>
    <row r="400" spans="1:8">
      <c r="A400" t="s">
        <v>1707</v>
      </c>
      <c r="B400" t="s">
        <v>1722</v>
      </c>
      <c r="C400" t="s">
        <v>1723</v>
      </c>
      <c r="D400" t="s">
        <v>14</v>
      </c>
      <c r="F400" t="s">
        <v>1724</v>
      </c>
      <c r="G400" t="s">
        <v>1712</v>
      </c>
      <c r="H400" t="str">
        <f>"01789 292238"</f>
        <v>01789 292238</v>
      </c>
    </row>
    <row r="401" spans="1:8">
      <c r="A401" t="s">
        <v>1725</v>
      </c>
      <c r="B401" t="s">
        <v>1726</v>
      </c>
      <c r="C401" t="s">
        <v>1727</v>
      </c>
      <c r="D401" t="s">
        <v>1728</v>
      </c>
      <c r="F401" t="s">
        <v>1729</v>
      </c>
      <c r="G401" t="s">
        <v>1730</v>
      </c>
      <c r="H401" t="str">
        <f>"01737 854500"</f>
        <v>01737 854500</v>
      </c>
    </row>
    <row r="402" spans="1:8">
      <c r="A402" t="s">
        <v>1731</v>
      </c>
      <c r="B402" t="s">
        <v>1732</v>
      </c>
      <c r="D402" t="s">
        <v>518</v>
      </c>
      <c r="E402" t="s">
        <v>520</v>
      </c>
      <c r="F402" t="s">
        <v>1733</v>
      </c>
      <c r="G402" t="s">
        <v>1734</v>
      </c>
      <c r="H402" t="str">
        <f>"01273 956270"</f>
        <v>01273 956270</v>
      </c>
    </row>
    <row r="403" spans="1:8">
      <c r="A403" t="s">
        <v>1731</v>
      </c>
      <c r="B403" t="s">
        <v>1735</v>
      </c>
      <c r="D403" t="s">
        <v>207</v>
      </c>
      <c r="E403" t="s">
        <v>200</v>
      </c>
      <c r="F403" t="s">
        <v>1736</v>
      </c>
      <c r="G403" t="s">
        <v>1734</v>
      </c>
      <c r="H403" t="str">
        <f>"01252 471211"</f>
        <v>01252 471211</v>
      </c>
    </row>
    <row r="404" spans="1:8">
      <c r="A404" t="s">
        <v>1731</v>
      </c>
      <c r="B404" t="s">
        <v>1737</v>
      </c>
      <c r="D404" t="s">
        <v>76</v>
      </c>
      <c r="E404" t="s">
        <v>520</v>
      </c>
      <c r="F404" t="s">
        <v>1738</v>
      </c>
      <c r="G404" t="s">
        <v>1734</v>
      </c>
      <c r="H404" t="str">
        <f>"01273 956270"</f>
        <v>01273 956270</v>
      </c>
    </row>
    <row r="405" spans="1:8">
      <c r="A405" t="s">
        <v>1731</v>
      </c>
      <c r="B405" t="s">
        <v>1740</v>
      </c>
      <c r="D405" t="s">
        <v>1739</v>
      </c>
      <c r="F405" t="s">
        <v>1741</v>
      </c>
      <c r="G405" t="s">
        <v>1734</v>
      </c>
      <c r="H405" t="str">
        <f>"01273 836007"</f>
        <v>01273 836007</v>
      </c>
    </row>
    <row r="406" spans="1:8">
      <c r="A406" t="s">
        <v>1731</v>
      </c>
      <c r="B406" t="s">
        <v>1742</v>
      </c>
      <c r="D406" t="s">
        <v>1743</v>
      </c>
      <c r="F406" t="s">
        <v>1744</v>
      </c>
      <c r="G406" t="s">
        <v>1734</v>
      </c>
      <c r="H406" t="str">
        <f>"01293 699 256"</f>
        <v>01293 699 256</v>
      </c>
    </row>
    <row r="407" spans="1:8">
      <c r="A407" t="s">
        <v>1745</v>
      </c>
      <c r="B407" t="s">
        <v>1746</v>
      </c>
      <c r="D407" t="s">
        <v>355</v>
      </c>
      <c r="F407" t="s">
        <v>1747</v>
      </c>
      <c r="G407" t="s">
        <v>1748</v>
      </c>
      <c r="H407" t="str">
        <f>"0333 358 7111"</f>
        <v>0333 358 7111</v>
      </c>
    </row>
    <row r="408" spans="1:8">
      <c r="A408" t="s">
        <v>1749</v>
      </c>
      <c r="B408" t="s">
        <v>1750</v>
      </c>
      <c r="D408" t="s">
        <v>481</v>
      </c>
      <c r="E408" t="s">
        <v>200</v>
      </c>
      <c r="F408" t="s">
        <v>1751</v>
      </c>
      <c r="G408" t="s">
        <v>1752</v>
      </c>
      <c r="H408" t="str">
        <f>"01483 752700"</f>
        <v>01483 752700</v>
      </c>
    </row>
    <row r="409" spans="1:8">
      <c r="A409" t="s">
        <v>1749</v>
      </c>
      <c r="B409" t="s">
        <v>1754</v>
      </c>
      <c r="D409" t="s">
        <v>1753</v>
      </c>
      <c r="E409" t="s">
        <v>57</v>
      </c>
      <c r="F409" t="s">
        <v>1755</v>
      </c>
      <c r="G409" t="s">
        <v>1752</v>
      </c>
      <c r="H409" t="str">
        <f>"02089466454"</f>
        <v>02089466454</v>
      </c>
    </row>
    <row r="410" spans="1:8">
      <c r="A410" t="s">
        <v>1749</v>
      </c>
      <c r="B410" t="s">
        <v>1757</v>
      </c>
      <c r="D410" t="s">
        <v>1756</v>
      </c>
      <c r="E410" t="s">
        <v>200</v>
      </c>
      <c r="F410" t="s">
        <v>1758</v>
      </c>
      <c r="G410" t="s">
        <v>1752</v>
      </c>
      <c r="H410" t="str">
        <f>"01737221212"</f>
        <v>01737221212</v>
      </c>
    </row>
    <row r="411" spans="1:8">
      <c r="A411" t="s">
        <v>1749</v>
      </c>
      <c r="B411" t="s">
        <v>1760</v>
      </c>
      <c r="D411" t="s">
        <v>1759</v>
      </c>
      <c r="F411" t="s">
        <v>1761</v>
      </c>
      <c r="G411" t="s">
        <v>1762</v>
      </c>
      <c r="H411" t="str">
        <f>"01372374148"</f>
        <v>01372374148</v>
      </c>
    </row>
    <row r="412" spans="1:8">
      <c r="A412" t="s">
        <v>1763</v>
      </c>
      <c r="B412" t="s">
        <v>1764</v>
      </c>
      <c r="D412" t="s">
        <v>1765</v>
      </c>
      <c r="E412" t="s">
        <v>736</v>
      </c>
      <c r="F412" t="s">
        <v>1766</v>
      </c>
      <c r="G412" t="s">
        <v>1767</v>
      </c>
      <c r="H412" t="str">
        <f>"0208 5014959"</f>
        <v>0208 5014959</v>
      </c>
    </row>
    <row r="413" spans="1:8">
      <c r="A413" t="s">
        <v>1768</v>
      </c>
      <c r="B413" t="s">
        <v>1769</v>
      </c>
      <c r="C413" t="s">
        <v>1770</v>
      </c>
      <c r="D413" t="s">
        <v>76</v>
      </c>
      <c r="E413" t="s">
        <v>520</v>
      </c>
      <c r="F413" t="s">
        <v>1771</v>
      </c>
      <c r="G413" t="s">
        <v>1772</v>
      </c>
      <c r="H413" t="str">
        <f>"01273 710712"</f>
        <v>01273 710712</v>
      </c>
    </row>
    <row r="414" spans="1:8">
      <c r="A414" t="s">
        <v>1768</v>
      </c>
      <c r="B414" t="s">
        <v>1773</v>
      </c>
      <c r="D414" t="s">
        <v>580</v>
      </c>
      <c r="E414" t="s">
        <v>502</v>
      </c>
      <c r="F414" t="s">
        <v>1774</v>
      </c>
      <c r="G414" t="s">
        <v>1772</v>
      </c>
      <c r="H414" t="str">
        <f>"01444 801030"</f>
        <v>01444 801030</v>
      </c>
    </row>
    <row r="415" spans="1:8">
      <c r="A415" t="s">
        <v>1768</v>
      </c>
      <c r="B415" t="s">
        <v>1775</v>
      </c>
      <c r="C415" t="s">
        <v>1776</v>
      </c>
      <c r="D415" t="s">
        <v>1739</v>
      </c>
      <c r="E415" t="s">
        <v>502</v>
      </c>
      <c r="F415" t="s">
        <v>1777</v>
      </c>
      <c r="G415" t="s">
        <v>1772</v>
      </c>
      <c r="H415" t="str">
        <f>"01273 831574"</f>
        <v>01273 831574</v>
      </c>
    </row>
    <row r="416" spans="1:8">
      <c r="A416" t="s">
        <v>1768</v>
      </c>
      <c r="B416" t="s">
        <v>1778</v>
      </c>
      <c r="D416" t="s">
        <v>1779</v>
      </c>
      <c r="F416" t="s">
        <v>1780</v>
      </c>
      <c r="G416" t="s">
        <v>1772</v>
      </c>
      <c r="H416" t="str">
        <f>"01243 973650"</f>
        <v>01243 973650</v>
      </c>
    </row>
    <row r="417" spans="1:8">
      <c r="A417" t="s">
        <v>1781</v>
      </c>
      <c r="B417" t="s">
        <v>1782</v>
      </c>
      <c r="D417" t="s">
        <v>124</v>
      </c>
      <c r="E417" t="s">
        <v>121</v>
      </c>
      <c r="F417" t="s">
        <v>1783</v>
      </c>
      <c r="G417" t="s">
        <v>1784</v>
      </c>
      <c r="H417" t="str">
        <f>"02380633225"</f>
        <v>02380633225</v>
      </c>
    </row>
    <row r="418" spans="1:8">
      <c r="A418" t="s">
        <v>1781</v>
      </c>
      <c r="B418" t="s">
        <v>1785</v>
      </c>
      <c r="C418" t="s">
        <v>1786</v>
      </c>
      <c r="D418" t="s">
        <v>1787</v>
      </c>
      <c r="E418" t="s">
        <v>121</v>
      </c>
      <c r="F418" t="s">
        <v>1788</v>
      </c>
      <c r="G418" t="s">
        <v>1789</v>
      </c>
      <c r="H418" t="str">
        <f>"01489 885 788"</f>
        <v>01489 885 788</v>
      </c>
    </row>
    <row r="419" spans="1:8">
      <c r="A419" t="s">
        <v>1781</v>
      </c>
      <c r="B419" t="s">
        <v>1790</v>
      </c>
      <c r="C419" t="s">
        <v>1791</v>
      </c>
      <c r="D419" t="s">
        <v>1792</v>
      </c>
      <c r="E419" t="s">
        <v>124</v>
      </c>
      <c r="F419" t="s">
        <v>1793</v>
      </c>
      <c r="G419" t="s">
        <v>1794</v>
      </c>
      <c r="H419" t="str">
        <f>"02380890919"</f>
        <v>02380890919</v>
      </c>
    </row>
    <row r="420" spans="1:8">
      <c r="A420" t="s">
        <v>1795</v>
      </c>
      <c r="B420" t="s">
        <v>1796</v>
      </c>
      <c r="D420" t="s">
        <v>1797</v>
      </c>
      <c r="E420" t="s">
        <v>200</v>
      </c>
      <c r="F420" t="s">
        <v>1798</v>
      </c>
      <c r="G420" t="s">
        <v>1799</v>
      </c>
      <c r="H420" t="str">
        <f>"01306 880110"</f>
        <v>01306 880110</v>
      </c>
    </row>
    <row r="421" spans="1:8">
      <c r="A421" t="s">
        <v>1795</v>
      </c>
      <c r="B421" t="s">
        <v>1801</v>
      </c>
      <c r="D421" t="s">
        <v>1800</v>
      </c>
      <c r="E421" t="s">
        <v>200</v>
      </c>
      <c r="F421" t="s">
        <v>1802</v>
      </c>
      <c r="G421" t="s">
        <v>1799</v>
      </c>
      <c r="H421" t="str">
        <f>"01932 589599"</f>
        <v>01932 589599</v>
      </c>
    </row>
    <row r="422" spans="1:8">
      <c r="A422" t="s">
        <v>1795</v>
      </c>
      <c r="B422" t="s">
        <v>1804</v>
      </c>
      <c r="C422" t="s">
        <v>1805</v>
      </c>
      <c r="D422" t="s">
        <v>1803</v>
      </c>
      <c r="E422" t="s">
        <v>200</v>
      </c>
      <c r="F422" t="s">
        <v>1806</v>
      </c>
      <c r="G422" t="s">
        <v>1799</v>
      </c>
      <c r="H422" t="str">
        <f>"01483 861848"</f>
        <v>01483 861848</v>
      </c>
    </row>
    <row r="423" spans="1:8">
      <c r="A423" t="s">
        <v>1807</v>
      </c>
      <c r="B423" t="s">
        <v>1808</v>
      </c>
      <c r="D423" t="s">
        <v>20</v>
      </c>
      <c r="E423" t="s">
        <v>11</v>
      </c>
      <c r="F423" t="s">
        <v>1809</v>
      </c>
      <c r="G423" t="s">
        <v>1810</v>
      </c>
      <c r="H423" t="str">
        <f>"01905 743374"</f>
        <v>01905 743374</v>
      </c>
    </row>
    <row r="424" spans="1:8">
      <c r="A424" t="s">
        <v>1811</v>
      </c>
      <c r="B424" t="s">
        <v>1812</v>
      </c>
      <c r="D424" t="s">
        <v>1813</v>
      </c>
      <c r="E424" t="s">
        <v>1814</v>
      </c>
      <c r="F424" t="s">
        <v>1815</v>
      </c>
      <c r="G424" t="s">
        <v>1816</v>
      </c>
      <c r="H424" t="str">
        <f>"01670 512391"</f>
        <v>01670 512391</v>
      </c>
    </row>
    <row r="425" spans="1:8">
      <c r="A425" t="s">
        <v>1817</v>
      </c>
      <c r="B425" t="s">
        <v>1818</v>
      </c>
      <c r="C425" t="s">
        <v>1753</v>
      </c>
      <c r="D425" t="s">
        <v>57</v>
      </c>
      <c r="F425" t="s">
        <v>1819</v>
      </c>
      <c r="G425" t="s">
        <v>1820</v>
      </c>
      <c r="H425" t="str">
        <f>"0345 370 1000"</f>
        <v>0345 370 1000</v>
      </c>
    </row>
    <row r="426" spans="1:8">
      <c r="A426" t="s">
        <v>1821</v>
      </c>
      <c r="B426" t="s">
        <v>1822</v>
      </c>
      <c r="C426" t="s">
        <v>1823</v>
      </c>
      <c r="D426" t="s">
        <v>1824</v>
      </c>
      <c r="E426" t="s">
        <v>736</v>
      </c>
      <c r="F426" t="s">
        <v>1825</v>
      </c>
      <c r="G426" t="s">
        <v>1826</v>
      </c>
      <c r="H426" t="str">
        <f>"02085054777"</f>
        <v>02085054777</v>
      </c>
    </row>
    <row r="427" spans="1:8">
      <c r="A427" t="s">
        <v>1827</v>
      </c>
      <c r="B427" t="s">
        <v>1828</v>
      </c>
      <c r="C427" t="s">
        <v>1829</v>
      </c>
      <c r="D427" t="s">
        <v>1190</v>
      </c>
      <c r="E427" t="s">
        <v>397</v>
      </c>
      <c r="F427" t="s">
        <v>1830</v>
      </c>
      <c r="G427" t="s">
        <v>1831</v>
      </c>
      <c r="H427" t="str">
        <f>"01234 358529"</f>
        <v>01234 358529</v>
      </c>
    </row>
    <row r="428" spans="1:8">
      <c r="A428" t="s">
        <v>1827</v>
      </c>
      <c r="B428" t="s">
        <v>1833</v>
      </c>
      <c r="D428" t="s">
        <v>1832</v>
      </c>
      <c r="E428" t="s">
        <v>1190</v>
      </c>
      <c r="F428" t="s">
        <v>1834</v>
      </c>
      <c r="G428" t="s">
        <v>1835</v>
      </c>
      <c r="H428" t="str">
        <f>"01234 481071"</f>
        <v>01234 481071</v>
      </c>
    </row>
    <row r="429" spans="1:8">
      <c r="A429" t="s">
        <v>1836</v>
      </c>
      <c r="B429" t="s">
        <v>1837</v>
      </c>
      <c r="C429" t="s">
        <v>1838</v>
      </c>
      <c r="D429" t="s">
        <v>57</v>
      </c>
      <c r="E429" t="s">
        <v>57</v>
      </c>
      <c r="F429" t="s">
        <v>1839</v>
      </c>
      <c r="G429" t="s">
        <v>1840</v>
      </c>
      <c r="H429" t="str">
        <f>"020 8858 6971"</f>
        <v>020 8858 6971</v>
      </c>
    </row>
    <row r="430" spans="1:8">
      <c r="A430" t="s">
        <v>1836</v>
      </c>
      <c r="B430" t="s">
        <v>1841</v>
      </c>
      <c r="D430" t="s">
        <v>1842</v>
      </c>
      <c r="E430" t="s">
        <v>57</v>
      </c>
      <c r="F430" t="s">
        <v>1843</v>
      </c>
      <c r="G430" t="s">
        <v>1840</v>
      </c>
      <c r="H430" t="str">
        <f>"020 8858 6971"</f>
        <v>020 8858 6971</v>
      </c>
    </row>
    <row r="431" spans="1:8">
      <c r="A431" t="s">
        <v>1844</v>
      </c>
      <c r="B431" t="s">
        <v>1845</v>
      </c>
      <c r="C431" t="s">
        <v>1846</v>
      </c>
      <c r="D431" t="s">
        <v>1256</v>
      </c>
      <c r="E431" t="s">
        <v>280</v>
      </c>
      <c r="F431" t="s">
        <v>1847</v>
      </c>
      <c r="G431" t="s">
        <v>1848</v>
      </c>
      <c r="H431" t="str">
        <f>"01484 538421"</f>
        <v>01484 538421</v>
      </c>
    </row>
    <row r="432" spans="1:8">
      <c r="A432" t="s">
        <v>1844</v>
      </c>
      <c r="B432" t="s">
        <v>1850</v>
      </c>
      <c r="C432" t="s">
        <v>1849</v>
      </c>
      <c r="D432" t="s">
        <v>1394</v>
      </c>
      <c r="F432" t="s">
        <v>1851</v>
      </c>
      <c r="G432" t="s">
        <v>1852</v>
      </c>
      <c r="H432" t="str">
        <f>"01977 649922"</f>
        <v>01977 649922</v>
      </c>
    </row>
    <row r="433" spans="1:8">
      <c r="A433" t="s">
        <v>1844</v>
      </c>
      <c r="B433" t="s">
        <v>1854</v>
      </c>
      <c r="D433" t="s">
        <v>1853</v>
      </c>
      <c r="F433" t="s">
        <v>1855</v>
      </c>
      <c r="G433" t="s">
        <v>1856</v>
      </c>
      <c r="H433" t="str">
        <f>"01226 213 434"</f>
        <v>01226 213 434</v>
      </c>
    </row>
    <row r="434" spans="1:8">
      <c r="A434" t="s">
        <v>1857</v>
      </c>
      <c r="B434" t="s">
        <v>1858</v>
      </c>
      <c r="D434" t="s">
        <v>152</v>
      </c>
      <c r="E434" t="s">
        <v>153</v>
      </c>
      <c r="F434" t="s">
        <v>1859</v>
      </c>
      <c r="G434" t="s">
        <v>1860</v>
      </c>
      <c r="H434" t="str">
        <f>"0118 951 6814"</f>
        <v>0118 951 6814</v>
      </c>
    </row>
    <row r="435" spans="1:8">
      <c r="A435" t="s">
        <v>1857</v>
      </c>
      <c r="B435" t="s">
        <v>1861</v>
      </c>
      <c r="D435" t="s">
        <v>759</v>
      </c>
      <c r="E435" t="s">
        <v>760</v>
      </c>
      <c r="F435" t="s">
        <v>1862</v>
      </c>
      <c r="G435" t="s">
        <v>1863</v>
      </c>
      <c r="H435" t="str">
        <f>"01491 572323"</f>
        <v>01491 572323</v>
      </c>
    </row>
    <row r="436" spans="1:8">
      <c r="A436" t="s">
        <v>1857</v>
      </c>
      <c r="B436" t="s">
        <v>1865</v>
      </c>
      <c r="D436" t="s">
        <v>1864</v>
      </c>
      <c r="F436" t="s">
        <v>1866</v>
      </c>
      <c r="G436" t="s">
        <v>1867</v>
      </c>
      <c r="H436" t="str">
        <f>"0118 951 6888"</f>
        <v>0118 951 6888</v>
      </c>
    </row>
    <row r="437" spans="1:8">
      <c r="A437" t="s">
        <v>1868</v>
      </c>
      <c r="B437" t="s">
        <v>1869</v>
      </c>
      <c r="D437" t="s">
        <v>1803</v>
      </c>
      <c r="E437" t="s">
        <v>200</v>
      </c>
      <c r="F437" t="s">
        <v>1870</v>
      </c>
      <c r="G437" t="s">
        <v>1871</v>
      </c>
      <c r="H437" t="str">
        <f>"01483 416101"</f>
        <v>01483 416101</v>
      </c>
    </row>
    <row r="438" spans="1:8">
      <c r="A438" t="s">
        <v>1872</v>
      </c>
      <c r="B438" t="s">
        <v>1873</v>
      </c>
      <c r="D438" t="s">
        <v>1874</v>
      </c>
      <c r="E438" t="s">
        <v>153</v>
      </c>
      <c r="F438" t="s">
        <v>1875</v>
      </c>
      <c r="G438" t="s">
        <v>1876</v>
      </c>
      <c r="H438" t="str">
        <f>"01753 486777"</f>
        <v>01753 486777</v>
      </c>
    </row>
    <row r="439" spans="1:8">
      <c r="A439" t="s">
        <v>1877</v>
      </c>
      <c r="B439" t="s">
        <v>1878</v>
      </c>
      <c r="D439" t="s">
        <v>1879</v>
      </c>
      <c r="E439" t="s">
        <v>1880</v>
      </c>
      <c r="F439" t="s">
        <v>1881</v>
      </c>
      <c r="G439" t="s">
        <v>1882</v>
      </c>
      <c r="H439" t="str">
        <f>"01262 672249"</f>
        <v>01262 672249</v>
      </c>
    </row>
    <row r="440" spans="1:8">
      <c r="A440" t="s">
        <v>1877</v>
      </c>
      <c r="B440" t="s">
        <v>1883</v>
      </c>
      <c r="D440" t="s">
        <v>1884</v>
      </c>
      <c r="F440" t="s">
        <v>1885</v>
      </c>
      <c r="G440" t="s">
        <v>1886</v>
      </c>
      <c r="H440" t="str">
        <f>"01482 309222"</f>
        <v>01482 309222</v>
      </c>
    </row>
    <row r="441" spans="1:8">
      <c r="A441" t="s">
        <v>1877</v>
      </c>
      <c r="B441" t="s">
        <v>1887</v>
      </c>
      <c r="D441" t="s">
        <v>1888</v>
      </c>
      <c r="F441" t="s">
        <v>1889</v>
      </c>
      <c r="G441" t="s">
        <v>1886</v>
      </c>
      <c r="H441" t="str">
        <f>"01262672249"</f>
        <v>01262672249</v>
      </c>
    </row>
    <row r="442" spans="1:8">
      <c r="A442" t="s">
        <v>1890</v>
      </c>
      <c r="B442" t="s">
        <v>1891</v>
      </c>
      <c r="C442" t="s">
        <v>1892</v>
      </c>
      <c r="D442" t="s">
        <v>1893</v>
      </c>
      <c r="E442" t="s">
        <v>121</v>
      </c>
      <c r="F442" t="s">
        <v>1894</v>
      </c>
      <c r="G442" t="s">
        <v>1895</v>
      </c>
      <c r="H442" t="str">
        <f>"02392 660261"</f>
        <v>02392 660261</v>
      </c>
    </row>
    <row r="443" spans="1:8">
      <c r="A443" t="s">
        <v>1890</v>
      </c>
      <c r="B443" t="s">
        <v>1897</v>
      </c>
      <c r="C443" t="s">
        <v>1898</v>
      </c>
      <c r="D443" t="s">
        <v>1896</v>
      </c>
      <c r="E443" t="s">
        <v>121</v>
      </c>
      <c r="F443" t="s">
        <v>1899</v>
      </c>
      <c r="G443" t="s">
        <v>1895</v>
      </c>
      <c r="H443" t="str">
        <f>"02392 251257"</f>
        <v>02392 251257</v>
      </c>
    </row>
    <row r="444" spans="1:8">
      <c r="A444" t="s">
        <v>1890</v>
      </c>
      <c r="B444" t="s">
        <v>1901</v>
      </c>
      <c r="C444" t="s">
        <v>1902</v>
      </c>
      <c r="D444" t="s">
        <v>1900</v>
      </c>
      <c r="F444" t="s">
        <v>1903</v>
      </c>
      <c r="G444" t="s">
        <v>1895</v>
      </c>
      <c r="H444" t="str">
        <f>"023 9266 0261"</f>
        <v>023 9266 0261</v>
      </c>
    </row>
    <row r="445" spans="1:8">
      <c r="A445" t="s">
        <v>1890</v>
      </c>
      <c r="B445" t="s">
        <v>1904</v>
      </c>
      <c r="D445" t="s">
        <v>1905</v>
      </c>
      <c r="E445" t="s">
        <v>1906</v>
      </c>
      <c r="F445" t="s">
        <v>1907</v>
      </c>
      <c r="G445" t="s">
        <v>1895</v>
      </c>
      <c r="H445" t="str">
        <f>"01983 615615"</f>
        <v>01983 615615</v>
      </c>
    </row>
    <row r="446" spans="1:8">
      <c r="A446" t="s">
        <v>1890</v>
      </c>
      <c r="B446" t="s">
        <v>1908</v>
      </c>
      <c r="D446" t="s">
        <v>1616</v>
      </c>
      <c r="F446" t="s">
        <v>1909</v>
      </c>
      <c r="G446" t="s">
        <v>1910</v>
      </c>
      <c r="H446" t="str">
        <f>"01983 533938"</f>
        <v>01983 533938</v>
      </c>
    </row>
    <row r="447" spans="1:8">
      <c r="A447" t="s">
        <v>1890</v>
      </c>
      <c r="B447" t="s">
        <v>1911</v>
      </c>
      <c r="D447" t="s">
        <v>120</v>
      </c>
      <c r="F447" t="s">
        <v>1912</v>
      </c>
      <c r="G447" t="s">
        <v>1895</v>
      </c>
      <c r="H447" t="str">
        <f>"01329 232112"</f>
        <v>01329 232112</v>
      </c>
    </row>
    <row r="448" spans="1:8">
      <c r="A448" t="s">
        <v>1890</v>
      </c>
      <c r="B448" t="s">
        <v>1914</v>
      </c>
      <c r="D448" t="s">
        <v>1913</v>
      </c>
      <c r="F448" t="s">
        <v>1915</v>
      </c>
      <c r="G448" t="s">
        <v>1895</v>
      </c>
      <c r="H448" t="str">
        <f>"01420550543"</f>
        <v>01420550543</v>
      </c>
    </row>
    <row r="449" spans="1:8">
      <c r="A449" t="s">
        <v>1916</v>
      </c>
      <c r="B449" t="s">
        <v>1917</v>
      </c>
      <c r="D449" t="s">
        <v>902</v>
      </c>
      <c r="F449" t="s">
        <v>903</v>
      </c>
      <c r="G449" t="s">
        <v>1918</v>
      </c>
      <c r="H449" t="str">
        <f>"01509 212108"</f>
        <v>01509 212108</v>
      </c>
    </row>
    <row r="450" spans="1:8">
      <c r="A450" t="s">
        <v>1916</v>
      </c>
      <c r="B450" t="s">
        <v>1920</v>
      </c>
      <c r="D450" t="s">
        <v>1919</v>
      </c>
      <c r="E450" t="s">
        <v>1033</v>
      </c>
      <c r="F450" t="s">
        <v>1921</v>
      </c>
      <c r="G450" t="s">
        <v>1922</v>
      </c>
      <c r="H450" t="str">
        <f>"01332 862113"</f>
        <v>01332 862113</v>
      </c>
    </row>
    <row r="451" spans="1:8">
      <c r="A451" t="s">
        <v>1916</v>
      </c>
      <c r="B451" t="s">
        <v>1923</v>
      </c>
      <c r="C451" t="s">
        <v>785</v>
      </c>
      <c r="D451" t="s">
        <v>774</v>
      </c>
      <c r="F451" t="s">
        <v>1924</v>
      </c>
      <c r="G451" t="s">
        <v>1922</v>
      </c>
      <c r="H451" t="str">
        <f>"0116 402 6688"</f>
        <v>0116 402 6688</v>
      </c>
    </row>
    <row r="452" spans="1:8">
      <c r="A452" t="s">
        <v>1916</v>
      </c>
      <c r="B452" t="s">
        <v>1926</v>
      </c>
      <c r="C452" t="s">
        <v>1925</v>
      </c>
      <c r="D452" t="s">
        <v>409</v>
      </c>
      <c r="F452" t="s">
        <v>1927</v>
      </c>
      <c r="G452" t="s">
        <v>1922</v>
      </c>
      <c r="H452" t="str">
        <f>"0115 955 3444"</f>
        <v>0115 955 3444</v>
      </c>
    </row>
    <row r="453" spans="1:8">
      <c r="A453" t="s">
        <v>1916</v>
      </c>
      <c r="B453" t="s">
        <v>1929</v>
      </c>
      <c r="C453" t="s">
        <v>1928</v>
      </c>
      <c r="D453" t="s">
        <v>409</v>
      </c>
      <c r="F453" t="s">
        <v>1930</v>
      </c>
      <c r="G453" t="s">
        <v>1922</v>
      </c>
      <c r="H453" t="str">
        <f>"0115 955 3444"</f>
        <v>0115 955 3444</v>
      </c>
    </row>
    <row r="454" spans="1:8">
      <c r="A454" t="s">
        <v>1916</v>
      </c>
      <c r="B454" t="s">
        <v>1931</v>
      </c>
      <c r="D454" t="s">
        <v>898</v>
      </c>
      <c r="F454" t="s">
        <v>1932</v>
      </c>
      <c r="G454" t="s">
        <v>1918</v>
      </c>
      <c r="H454" t="str">
        <f>"01664494600"</f>
        <v>01664494600</v>
      </c>
    </row>
    <row r="455" spans="1:8">
      <c r="A455" t="s">
        <v>1933</v>
      </c>
      <c r="B455" t="s">
        <v>1934</v>
      </c>
      <c r="D455" t="s">
        <v>1935</v>
      </c>
      <c r="E455" t="s">
        <v>1936</v>
      </c>
      <c r="F455" t="s">
        <v>1937</v>
      </c>
      <c r="G455" t="s">
        <v>1938</v>
      </c>
      <c r="H455" t="str">
        <f>"01286 671167"</f>
        <v>01286 671167</v>
      </c>
    </row>
    <row r="456" spans="1:8">
      <c r="A456" t="s">
        <v>1939</v>
      </c>
      <c r="B456" t="s">
        <v>1940</v>
      </c>
      <c r="D456" t="s">
        <v>355</v>
      </c>
      <c r="E456" t="s">
        <v>280</v>
      </c>
      <c r="F456" t="s">
        <v>1941</v>
      </c>
      <c r="G456" t="s">
        <v>1942</v>
      </c>
      <c r="H456" t="str">
        <f>"0113 207 0000"</f>
        <v>0113 207 0000</v>
      </c>
    </row>
    <row r="457" spans="1:8">
      <c r="A457" t="s">
        <v>1943</v>
      </c>
      <c r="B457" t="s">
        <v>1944</v>
      </c>
      <c r="C457" t="s">
        <v>1945</v>
      </c>
      <c r="D457" t="s">
        <v>57</v>
      </c>
      <c r="F457" t="s">
        <v>1946</v>
      </c>
      <c r="G457" t="s">
        <v>1947</v>
      </c>
      <c r="H457" t="str">
        <f>"020 7485 8811"</f>
        <v>020 7485 8811</v>
      </c>
    </row>
    <row r="458" spans="1:8">
      <c r="A458" t="s">
        <v>1948</v>
      </c>
      <c r="B458" t="s">
        <v>1949</v>
      </c>
      <c r="D458" t="s">
        <v>1950</v>
      </c>
      <c r="E458" t="s">
        <v>292</v>
      </c>
      <c r="F458" t="s">
        <v>1951</v>
      </c>
      <c r="G458" t="s">
        <v>1952</v>
      </c>
      <c r="H458" t="str">
        <f>"01754 897150"</f>
        <v>01754 897150</v>
      </c>
    </row>
    <row r="459" spans="1:8">
      <c r="A459" t="s">
        <v>1953</v>
      </c>
      <c r="B459" t="s">
        <v>1954</v>
      </c>
      <c r="C459" t="s">
        <v>1955</v>
      </c>
      <c r="D459" t="s">
        <v>61</v>
      </c>
      <c r="E459" t="s">
        <v>1956</v>
      </c>
      <c r="F459" t="s">
        <v>1957</v>
      </c>
      <c r="G459" t="s">
        <v>1958</v>
      </c>
      <c r="H459" t="str">
        <f>"01179 714074"</f>
        <v>01179 714074</v>
      </c>
    </row>
    <row r="460" spans="1:8">
      <c r="A460" t="s">
        <v>1953</v>
      </c>
      <c r="B460" t="s">
        <v>1959</v>
      </c>
      <c r="C460" t="s">
        <v>1960</v>
      </c>
      <c r="D460" t="s">
        <v>61</v>
      </c>
      <c r="E460" t="s">
        <v>1956</v>
      </c>
      <c r="F460" t="s">
        <v>1961</v>
      </c>
      <c r="G460" t="s">
        <v>1958</v>
      </c>
      <c r="H460" t="str">
        <f>"0117 9777 403"</f>
        <v>0117 9777 403</v>
      </c>
    </row>
    <row r="461" spans="1:8">
      <c r="A461" t="s">
        <v>1953</v>
      </c>
      <c r="B461" t="s">
        <v>1963</v>
      </c>
      <c r="C461" t="s">
        <v>1962</v>
      </c>
      <c r="D461" t="s">
        <v>61</v>
      </c>
      <c r="E461" t="s">
        <v>1956</v>
      </c>
      <c r="F461" t="s">
        <v>1964</v>
      </c>
      <c r="G461" t="s">
        <v>1958</v>
      </c>
      <c r="H461" t="str">
        <f>"01275 835569"</f>
        <v>01275 835569</v>
      </c>
    </row>
    <row r="462" spans="1:8">
      <c r="A462" t="s">
        <v>1953</v>
      </c>
      <c r="B462" t="s">
        <v>1966</v>
      </c>
      <c r="C462" t="s">
        <v>1967</v>
      </c>
      <c r="D462" t="s">
        <v>1965</v>
      </c>
      <c r="E462" t="s">
        <v>61</v>
      </c>
      <c r="F462" t="s">
        <v>1968</v>
      </c>
      <c r="G462" t="s">
        <v>1958</v>
      </c>
      <c r="H462" t="str">
        <f>"01454 801 919 "</f>
        <v xml:space="preserve">01454 801 919 </v>
      </c>
    </row>
    <row r="463" spans="1:8">
      <c r="A463" t="s">
        <v>1969</v>
      </c>
      <c r="B463" t="s">
        <v>1970</v>
      </c>
      <c r="D463" t="s">
        <v>1971</v>
      </c>
      <c r="E463" t="s">
        <v>736</v>
      </c>
      <c r="F463" t="s">
        <v>1972</v>
      </c>
      <c r="G463" t="s">
        <v>1973</v>
      </c>
      <c r="H463" t="str">
        <f>"01268566655"</f>
        <v>01268566655</v>
      </c>
    </row>
    <row r="464" spans="1:8">
      <c r="A464" t="s">
        <v>1969</v>
      </c>
      <c r="B464" t="s">
        <v>1975</v>
      </c>
      <c r="D464" t="s">
        <v>1974</v>
      </c>
      <c r="E464" t="s">
        <v>736</v>
      </c>
      <c r="F464" t="s">
        <v>1976</v>
      </c>
      <c r="G464" t="s">
        <v>1973</v>
      </c>
      <c r="H464" t="str">
        <f>"01702 663260"</f>
        <v>01702 663260</v>
      </c>
    </row>
    <row r="465" spans="1:8">
      <c r="A465" t="s">
        <v>1969</v>
      </c>
      <c r="B465" t="s">
        <v>1978</v>
      </c>
      <c r="D465" t="s">
        <v>1977</v>
      </c>
      <c r="E465" t="s">
        <v>736</v>
      </c>
      <c r="F465" t="s">
        <v>1979</v>
      </c>
      <c r="G465" t="s">
        <v>1973</v>
      </c>
      <c r="H465" t="str">
        <f>"01277 286530"</f>
        <v>01277 286530</v>
      </c>
    </row>
    <row r="466" spans="1:8">
      <c r="A466" t="s">
        <v>1980</v>
      </c>
      <c r="B466" t="s">
        <v>1981</v>
      </c>
      <c r="C466" t="s">
        <v>1982</v>
      </c>
      <c r="D466" t="s">
        <v>217</v>
      </c>
      <c r="F466" t="s">
        <v>1983</v>
      </c>
      <c r="G466" t="s">
        <v>1984</v>
      </c>
      <c r="H466" t="str">
        <f>"0208 808 1285"</f>
        <v>0208 808 1285</v>
      </c>
    </row>
    <row r="467" spans="1:8">
      <c r="A467" t="s">
        <v>1980</v>
      </c>
      <c r="B467" t="s">
        <v>1985</v>
      </c>
      <c r="D467" t="s">
        <v>57</v>
      </c>
      <c r="F467" t="s">
        <v>1986</v>
      </c>
      <c r="G467" t="s">
        <v>1984</v>
      </c>
      <c r="H467" t="str">
        <f>"0208 808 1285"</f>
        <v>0208 808 1285</v>
      </c>
    </row>
    <row r="468" spans="1:8">
      <c r="A468" t="s">
        <v>1987</v>
      </c>
      <c r="B468" t="s">
        <v>1988</v>
      </c>
      <c r="D468" t="s">
        <v>658</v>
      </c>
      <c r="E468" t="s">
        <v>315</v>
      </c>
      <c r="F468" t="s">
        <v>1989</v>
      </c>
      <c r="G468" t="s">
        <v>1990</v>
      </c>
      <c r="H468" t="str">
        <f>"01606 74301"</f>
        <v>01606 74301</v>
      </c>
    </row>
    <row r="469" spans="1:8">
      <c r="A469" t="s">
        <v>1987</v>
      </c>
      <c r="B469" t="s">
        <v>1991</v>
      </c>
      <c r="C469" t="s">
        <v>1992</v>
      </c>
      <c r="D469" t="s">
        <v>1993</v>
      </c>
      <c r="E469" t="s">
        <v>315</v>
      </c>
      <c r="F469" t="s">
        <v>1994</v>
      </c>
      <c r="G469" t="s">
        <v>1990</v>
      </c>
      <c r="H469" t="str">
        <f>"01606 592159"</f>
        <v>01606 592159</v>
      </c>
    </row>
    <row r="470" spans="1:8">
      <c r="A470" t="s">
        <v>1995</v>
      </c>
      <c r="B470" t="s">
        <v>1375</v>
      </c>
      <c r="D470" t="s">
        <v>1996</v>
      </c>
      <c r="F470" t="s">
        <v>1997</v>
      </c>
      <c r="G470" t="s">
        <v>1998</v>
      </c>
      <c r="H470" t="str">
        <f>"01692 581231"</f>
        <v>01692 581231</v>
      </c>
    </row>
    <row r="471" spans="1:8">
      <c r="A471" t="s">
        <v>1995</v>
      </c>
      <c r="B471" t="s">
        <v>1999</v>
      </c>
      <c r="D471" t="s">
        <v>2000</v>
      </c>
      <c r="F471" t="s">
        <v>2001</v>
      </c>
      <c r="G471" t="s">
        <v>2002</v>
      </c>
      <c r="H471" t="str">
        <f>"01603 783818"</f>
        <v>01603 783818</v>
      </c>
    </row>
    <row r="472" spans="1:8">
      <c r="A472" t="s">
        <v>2003</v>
      </c>
      <c r="B472" t="s">
        <v>2004</v>
      </c>
      <c r="D472" t="s">
        <v>2005</v>
      </c>
      <c r="E472" t="s">
        <v>2006</v>
      </c>
      <c r="F472" t="s">
        <v>2007</v>
      </c>
      <c r="G472" t="s">
        <v>2008</v>
      </c>
      <c r="H472" t="str">
        <f>"0208 9090400 "</f>
        <v xml:space="preserve">0208 9090400 </v>
      </c>
    </row>
    <row r="473" spans="1:8">
      <c r="A473" t="s">
        <v>2003</v>
      </c>
      <c r="B473" t="s">
        <v>2009</v>
      </c>
      <c r="D473" t="s">
        <v>2010</v>
      </c>
      <c r="E473" t="s">
        <v>2006</v>
      </c>
      <c r="F473" t="s">
        <v>2011</v>
      </c>
      <c r="G473" t="s">
        <v>2012</v>
      </c>
      <c r="H473" t="str">
        <f>"02084282272"</f>
        <v>02084282272</v>
      </c>
    </row>
    <row r="474" spans="1:8">
      <c r="A474" t="s">
        <v>2003</v>
      </c>
      <c r="B474" t="s">
        <v>2013</v>
      </c>
      <c r="D474" t="s">
        <v>57</v>
      </c>
      <c r="F474" t="s">
        <v>2014</v>
      </c>
      <c r="G474" t="s">
        <v>2015</v>
      </c>
      <c r="H474" t="str">
        <f>"02072240025"</f>
        <v>02072240025</v>
      </c>
    </row>
    <row r="475" spans="1:8">
      <c r="A475" t="s">
        <v>2016</v>
      </c>
      <c r="B475" t="s">
        <v>2017</v>
      </c>
      <c r="D475" t="s">
        <v>2018</v>
      </c>
      <c r="E475" t="s">
        <v>132</v>
      </c>
      <c r="F475" t="s">
        <v>2019</v>
      </c>
      <c r="G475" t="s">
        <v>2020</v>
      </c>
      <c r="H475" t="str">
        <f>"01524 846846"</f>
        <v>01524 846846</v>
      </c>
    </row>
    <row r="476" spans="1:8">
      <c r="A476" t="s">
        <v>2016</v>
      </c>
      <c r="B476" t="s">
        <v>2021</v>
      </c>
      <c r="C476" t="s">
        <v>2022</v>
      </c>
      <c r="D476" t="s">
        <v>135</v>
      </c>
      <c r="E476" t="s">
        <v>132</v>
      </c>
      <c r="F476" t="s">
        <v>2023</v>
      </c>
      <c r="G476" t="s">
        <v>2020</v>
      </c>
      <c r="H476" t="str">
        <f>"01524 271388"</f>
        <v>01524 271388</v>
      </c>
    </row>
    <row r="477" spans="1:8">
      <c r="A477" t="s">
        <v>2024</v>
      </c>
      <c r="B477" t="s">
        <v>2025</v>
      </c>
      <c r="C477" t="s">
        <v>2026</v>
      </c>
      <c r="D477" t="s">
        <v>2027</v>
      </c>
      <c r="F477" t="s">
        <v>2028</v>
      </c>
      <c r="G477" t="s">
        <v>2029</v>
      </c>
      <c r="H477" t="str">
        <f>"01284 762331"</f>
        <v>01284 762331</v>
      </c>
    </row>
    <row r="478" spans="1:8">
      <c r="A478" t="s">
        <v>2024</v>
      </c>
      <c r="B478" t="s">
        <v>2030</v>
      </c>
      <c r="D478" t="s">
        <v>741</v>
      </c>
      <c r="F478" t="s">
        <v>2031</v>
      </c>
      <c r="G478" t="s">
        <v>2032</v>
      </c>
      <c r="H478" t="str">
        <f>"01603 703070"</f>
        <v>01603 703070</v>
      </c>
    </row>
    <row r="479" spans="1:8">
      <c r="A479" t="s">
        <v>2024</v>
      </c>
      <c r="B479" t="s">
        <v>2033</v>
      </c>
      <c r="C479" t="s">
        <v>2034</v>
      </c>
      <c r="D479" t="s">
        <v>1411</v>
      </c>
      <c r="F479" t="s">
        <v>2035</v>
      </c>
      <c r="G479" t="s">
        <v>2036</v>
      </c>
      <c r="H479" t="str">
        <f>"01473 232425"</f>
        <v>01473 232425</v>
      </c>
    </row>
    <row r="480" spans="1:8">
      <c r="A480" t="s">
        <v>2024</v>
      </c>
      <c r="B480" t="s">
        <v>2037</v>
      </c>
      <c r="D480" t="s">
        <v>379</v>
      </c>
      <c r="F480" t="s">
        <v>2038</v>
      </c>
      <c r="G480" t="s">
        <v>2036</v>
      </c>
      <c r="H480" t="str">
        <f>"01223 363111"</f>
        <v>01223 363111</v>
      </c>
    </row>
    <row r="481" spans="1:8">
      <c r="A481" t="s">
        <v>2039</v>
      </c>
      <c r="B481" t="s">
        <v>2040</v>
      </c>
      <c r="D481" t="s">
        <v>291</v>
      </c>
      <c r="E481" t="s">
        <v>616</v>
      </c>
      <c r="F481" t="s">
        <v>2041</v>
      </c>
      <c r="G481" t="s">
        <v>2042</v>
      </c>
      <c r="H481" t="str">
        <f>"01522 503500"</f>
        <v>01522 503500</v>
      </c>
    </row>
    <row r="482" spans="1:8">
      <c r="A482" t="s">
        <v>2039</v>
      </c>
      <c r="B482" t="s">
        <v>2043</v>
      </c>
      <c r="D482" t="s">
        <v>57</v>
      </c>
      <c r="F482" t="s">
        <v>2044</v>
      </c>
      <c r="G482" t="s">
        <v>2042</v>
      </c>
      <c r="H482" t="str">
        <f>"020 3096 7500"</f>
        <v>020 3096 7500</v>
      </c>
    </row>
    <row r="483" spans="1:8">
      <c r="A483" t="s">
        <v>2045</v>
      </c>
      <c r="B483" t="s">
        <v>2046</v>
      </c>
      <c r="C483" t="s">
        <v>2047</v>
      </c>
      <c r="D483" t="s">
        <v>1701</v>
      </c>
      <c r="E483" t="s">
        <v>184</v>
      </c>
      <c r="F483" t="s">
        <v>2048</v>
      </c>
      <c r="G483" t="s">
        <v>2049</v>
      </c>
      <c r="H483" t="str">
        <f>"0800 0131165"</f>
        <v>0800 0131165</v>
      </c>
    </row>
    <row r="484" spans="1:8">
      <c r="A484" t="s">
        <v>2045</v>
      </c>
      <c r="B484" t="s">
        <v>2050</v>
      </c>
      <c r="C484" t="s">
        <v>2051</v>
      </c>
      <c r="D484" t="s">
        <v>379</v>
      </c>
      <c r="E484" t="s">
        <v>369</v>
      </c>
      <c r="F484" t="s">
        <v>2052</v>
      </c>
      <c r="G484" t="s">
        <v>2049</v>
      </c>
      <c r="H484" t="str">
        <f>"0800 0131165"</f>
        <v>0800 0131165</v>
      </c>
    </row>
    <row r="485" spans="1:8">
      <c r="A485" t="s">
        <v>2045</v>
      </c>
      <c r="B485" t="s">
        <v>2054</v>
      </c>
      <c r="D485" t="s">
        <v>2053</v>
      </c>
      <c r="E485" t="s">
        <v>2055</v>
      </c>
      <c r="F485" t="s">
        <v>2056</v>
      </c>
      <c r="G485" t="s">
        <v>2049</v>
      </c>
      <c r="H485" t="str">
        <f>"0800 0131165"</f>
        <v>0800 0131165</v>
      </c>
    </row>
    <row r="486" spans="1:8">
      <c r="A486" t="s">
        <v>2045</v>
      </c>
      <c r="B486" t="s">
        <v>2057</v>
      </c>
      <c r="C486" t="s">
        <v>2058</v>
      </c>
      <c r="D486" t="s">
        <v>2059</v>
      </c>
      <c r="E486" t="s">
        <v>736</v>
      </c>
      <c r="F486" t="s">
        <v>2060</v>
      </c>
      <c r="G486" t="s">
        <v>2049</v>
      </c>
      <c r="H486" t="str">
        <f>"01799 525249"</f>
        <v>01799 525249</v>
      </c>
    </row>
    <row r="487" spans="1:8">
      <c r="A487" t="s">
        <v>2045</v>
      </c>
      <c r="B487" t="s">
        <v>2061</v>
      </c>
      <c r="C487" t="s">
        <v>2062</v>
      </c>
      <c r="D487" t="s">
        <v>2063</v>
      </c>
      <c r="E487" t="s">
        <v>184</v>
      </c>
      <c r="F487" t="s">
        <v>2064</v>
      </c>
      <c r="G487" t="s">
        <v>2049</v>
      </c>
      <c r="H487" t="str">
        <f>"0800 0131165"</f>
        <v>0800 0131165</v>
      </c>
    </row>
    <row r="488" spans="1:8">
      <c r="A488" t="s">
        <v>2065</v>
      </c>
      <c r="B488" t="s">
        <v>2066</v>
      </c>
      <c r="C488" t="s">
        <v>2067</v>
      </c>
      <c r="D488" t="s">
        <v>152</v>
      </c>
      <c r="E488" t="s">
        <v>153</v>
      </c>
      <c r="F488" t="s">
        <v>2068</v>
      </c>
      <c r="G488" t="s">
        <v>2069</v>
      </c>
      <c r="H488" t="str">
        <f>"0118 959 7711"</f>
        <v>0118 959 7711</v>
      </c>
    </row>
    <row r="489" spans="1:8">
      <c r="A489" t="s">
        <v>2070</v>
      </c>
      <c r="B489" t="s">
        <v>2071</v>
      </c>
      <c r="D489" t="s">
        <v>256</v>
      </c>
      <c r="E489" t="s">
        <v>1352</v>
      </c>
      <c r="F489" t="s">
        <v>2072</v>
      </c>
      <c r="G489" t="s">
        <v>2073</v>
      </c>
      <c r="H489" t="str">
        <f>"01642 475252"</f>
        <v>01642 475252</v>
      </c>
    </row>
    <row r="490" spans="1:8">
      <c r="A490" t="s">
        <v>2070</v>
      </c>
      <c r="B490" t="s">
        <v>2074</v>
      </c>
      <c r="D490" t="s">
        <v>2075</v>
      </c>
      <c r="E490" t="s">
        <v>1352</v>
      </c>
      <c r="F490" t="s">
        <v>2076</v>
      </c>
      <c r="G490" t="s">
        <v>2073</v>
      </c>
      <c r="H490" t="str">
        <f>"01642 475252"</f>
        <v>01642 475252</v>
      </c>
    </row>
    <row r="491" spans="1:8">
      <c r="A491" t="s">
        <v>2077</v>
      </c>
      <c r="B491" t="s">
        <v>2078</v>
      </c>
      <c r="C491" t="s">
        <v>2079</v>
      </c>
      <c r="D491" t="s">
        <v>2080</v>
      </c>
      <c r="E491" t="s">
        <v>184</v>
      </c>
      <c r="F491" t="s">
        <v>2081</v>
      </c>
      <c r="G491" t="s">
        <v>2082</v>
      </c>
      <c r="H491" t="str">
        <f>"01438 312211"</f>
        <v>01438 312211</v>
      </c>
    </row>
    <row r="492" spans="1:8">
      <c r="A492" t="s">
        <v>2077</v>
      </c>
      <c r="B492" t="s">
        <v>2083</v>
      </c>
      <c r="D492" t="s">
        <v>2059</v>
      </c>
      <c r="E492" t="s">
        <v>736</v>
      </c>
      <c r="F492" t="s">
        <v>2084</v>
      </c>
      <c r="G492" t="s">
        <v>2085</v>
      </c>
      <c r="H492" t="str">
        <f>"01799 522636"</f>
        <v>01799 522636</v>
      </c>
    </row>
    <row r="493" spans="1:8">
      <c r="A493" t="s">
        <v>2077</v>
      </c>
      <c r="B493" t="s">
        <v>2087</v>
      </c>
      <c r="D493" t="s">
        <v>2086</v>
      </c>
      <c r="E493" t="s">
        <v>184</v>
      </c>
      <c r="F493" t="s">
        <v>2088</v>
      </c>
      <c r="G493" t="s">
        <v>2085</v>
      </c>
      <c r="H493" t="str">
        <f>"01462 682244"</f>
        <v>01462 682244</v>
      </c>
    </row>
    <row r="494" spans="1:8">
      <c r="A494" t="s">
        <v>2089</v>
      </c>
      <c r="B494" t="s">
        <v>2090</v>
      </c>
      <c r="D494" t="s">
        <v>291</v>
      </c>
      <c r="E494" t="s">
        <v>292</v>
      </c>
      <c r="F494" t="s">
        <v>2091</v>
      </c>
      <c r="G494" t="s">
        <v>2092</v>
      </c>
      <c r="H494" t="str">
        <f>"01522 523215"</f>
        <v>01522 523215</v>
      </c>
    </row>
    <row r="495" spans="1:8">
      <c r="A495" t="s">
        <v>2089</v>
      </c>
      <c r="B495" t="s">
        <v>2093</v>
      </c>
      <c r="D495" t="s">
        <v>2094</v>
      </c>
      <c r="E495" t="s">
        <v>292</v>
      </c>
      <c r="F495" t="s">
        <v>2095</v>
      </c>
      <c r="G495" t="s">
        <v>2092</v>
      </c>
      <c r="H495" t="str">
        <f>"01522 523 215"</f>
        <v>01522 523 215</v>
      </c>
    </row>
    <row r="496" spans="1:8">
      <c r="A496" t="s">
        <v>2096</v>
      </c>
      <c r="B496" t="s">
        <v>2097</v>
      </c>
      <c r="D496" t="s">
        <v>1864</v>
      </c>
      <c r="E496" t="s">
        <v>153</v>
      </c>
      <c r="F496" t="s">
        <v>2098</v>
      </c>
      <c r="G496" t="s">
        <v>2099</v>
      </c>
      <c r="H496" t="str">
        <f>"0118 978 0099"</f>
        <v>0118 978 0099</v>
      </c>
    </row>
    <row r="497" spans="1:8">
      <c r="A497" t="s">
        <v>2096</v>
      </c>
      <c r="B497" t="s">
        <v>2100</v>
      </c>
      <c r="D497" t="s">
        <v>152</v>
      </c>
      <c r="E497" t="s">
        <v>153</v>
      </c>
      <c r="F497" t="s">
        <v>2101</v>
      </c>
      <c r="G497" t="s">
        <v>2102</v>
      </c>
      <c r="H497" t="str">
        <f>"01189 120259"</f>
        <v>01189 120259</v>
      </c>
    </row>
    <row r="498" spans="1:8">
      <c r="A498" t="s">
        <v>2096</v>
      </c>
      <c r="B498" t="s">
        <v>2103</v>
      </c>
      <c r="C498" t="s">
        <v>2104</v>
      </c>
      <c r="D498" t="s">
        <v>207</v>
      </c>
      <c r="F498" t="s">
        <v>2105</v>
      </c>
      <c r="G498" t="s">
        <v>2102</v>
      </c>
      <c r="H498" t="str">
        <f>"01252 733 733"</f>
        <v>01252 733 733</v>
      </c>
    </row>
    <row r="499" spans="1:8">
      <c r="A499" t="s">
        <v>2106</v>
      </c>
      <c r="B499" t="s">
        <v>2107</v>
      </c>
      <c r="D499" t="s">
        <v>57</v>
      </c>
      <c r="F499" t="s">
        <v>2108</v>
      </c>
      <c r="G499" t="s">
        <v>2109</v>
      </c>
      <c r="H499" t="str">
        <f>"02088 871360"</f>
        <v>02088 871360</v>
      </c>
    </row>
    <row r="500" spans="1:8">
      <c r="A500" t="s">
        <v>2110</v>
      </c>
      <c r="B500" t="s">
        <v>2111</v>
      </c>
      <c r="C500" t="s">
        <v>819</v>
      </c>
      <c r="D500" t="s">
        <v>297</v>
      </c>
      <c r="E500" t="s">
        <v>2112</v>
      </c>
      <c r="F500" t="s">
        <v>2113</v>
      </c>
      <c r="G500" t="s">
        <v>2114</v>
      </c>
      <c r="H500" t="str">
        <f>"0161 959 5000"</f>
        <v>0161 959 5000</v>
      </c>
    </row>
    <row r="501" spans="1:8">
      <c r="A501" t="s">
        <v>2110</v>
      </c>
      <c r="B501" t="s">
        <v>2116</v>
      </c>
      <c r="C501" t="s">
        <v>2117</v>
      </c>
      <c r="D501" t="s">
        <v>2115</v>
      </c>
      <c r="E501" t="s">
        <v>821</v>
      </c>
      <c r="F501" t="s">
        <v>2118</v>
      </c>
      <c r="G501" t="s">
        <v>2119</v>
      </c>
      <c r="H501" t="str">
        <f>"01619 595050"</f>
        <v>01619 595050</v>
      </c>
    </row>
    <row r="502" spans="1:8">
      <c r="A502" t="s">
        <v>2120</v>
      </c>
      <c r="B502" t="s">
        <v>2121</v>
      </c>
      <c r="D502" t="s">
        <v>177</v>
      </c>
      <c r="E502" t="s">
        <v>178</v>
      </c>
      <c r="F502" t="s">
        <v>2122</v>
      </c>
      <c r="G502" t="s">
        <v>2123</v>
      </c>
      <c r="H502" t="str">
        <f>"01633 874715"</f>
        <v>01633 874715</v>
      </c>
    </row>
    <row r="503" spans="1:8">
      <c r="A503" t="s">
        <v>2120</v>
      </c>
      <c r="B503" t="s">
        <v>2124</v>
      </c>
      <c r="D503" t="s">
        <v>1048</v>
      </c>
      <c r="E503" t="s">
        <v>2125</v>
      </c>
      <c r="F503" t="s">
        <v>2126</v>
      </c>
      <c r="G503" t="s">
        <v>2127</v>
      </c>
      <c r="H503" t="str">
        <f>"01446 700693"</f>
        <v>01446 700693</v>
      </c>
    </row>
    <row r="504" spans="1:8">
      <c r="A504" t="s">
        <v>2128</v>
      </c>
      <c r="B504" t="s">
        <v>2129</v>
      </c>
      <c r="C504" t="s">
        <v>2130</v>
      </c>
      <c r="D504" t="s">
        <v>2131</v>
      </c>
      <c r="E504" t="s">
        <v>616</v>
      </c>
      <c r="F504" t="s">
        <v>2132</v>
      </c>
      <c r="G504" t="s">
        <v>2133</v>
      </c>
      <c r="H504" t="str">
        <f>"01609 780101"</f>
        <v>01609 780101</v>
      </c>
    </row>
    <row r="505" spans="1:8">
      <c r="A505" t="s">
        <v>2134</v>
      </c>
      <c r="B505" t="s">
        <v>2135</v>
      </c>
      <c r="C505" t="s">
        <v>2136</v>
      </c>
      <c r="D505" t="s">
        <v>2137</v>
      </c>
      <c r="E505" t="s">
        <v>184</v>
      </c>
      <c r="F505" t="s">
        <v>2138</v>
      </c>
      <c r="G505" t="s">
        <v>2139</v>
      </c>
      <c r="H505" t="str">
        <f>"01442 865671"</f>
        <v>01442 865671</v>
      </c>
    </row>
    <row r="506" spans="1:8">
      <c r="A506" t="s">
        <v>2140</v>
      </c>
      <c r="B506" t="s">
        <v>2141</v>
      </c>
      <c r="D506" t="s">
        <v>774</v>
      </c>
      <c r="E506" t="s">
        <v>775</v>
      </c>
      <c r="F506" t="s">
        <v>2142</v>
      </c>
      <c r="G506" t="s">
        <v>2143</v>
      </c>
      <c r="H506" t="str">
        <f>"0116 2517171"</f>
        <v>0116 2517171</v>
      </c>
    </row>
    <row r="507" spans="1:8">
      <c r="A507" t="s">
        <v>2144</v>
      </c>
      <c r="B507" t="s">
        <v>2145</v>
      </c>
      <c r="D507" t="s">
        <v>2146</v>
      </c>
      <c r="E507" t="s">
        <v>2147</v>
      </c>
      <c r="F507" t="s">
        <v>2148</v>
      </c>
      <c r="G507" t="s">
        <v>2149</v>
      </c>
      <c r="H507" t="str">
        <f>"01443 740095"</f>
        <v>01443 740095</v>
      </c>
    </row>
    <row r="508" spans="1:8">
      <c r="A508" t="s">
        <v>2150</v>
      </c>
      <c r="B508" t="s">
        <v>2151</v>
      </c>
      <c r="C508" t="s">
        <v>2152</v>
      </c>
      <c r="D508" t="s">
        <v>124</v>
      </c>
      <c r="E508" t="s">
        <v>121</v>
      </c>
      <c r="F508" t="s">
        <v>2153</v>
      </c>
      <c r="G508" t="s">
        <v>2154</v>
      </c>
      <c r="H508" t="str">
        <f>"02380 213749"</f>
        <v>02380 213749</v>
      </c>
    </row>
    <row r="509" spans="1:8">
      <c r="A509" t="s">
        <v>2155</v>
      </c>
      <c r="B509" t="s">
        <v>2156</v>
      </c>
      <c r="C509" t="s">
        <v>2157</v>
      </c>
      <c r="D509" t="s">
        <v>2158</v>
      </c>
      <c r="E509" t="s">
        <v>520</v>
      </c>
      <c r="F509" t="s">
        <v>2159</v>
      </c>
      <c r="G509" t="s">
        <v>2160</v>
      </c>
      <c r="H509" t="str">
        <f>"01424775967"</f>
        <v>01424775967</v>
      </c>
    </row>
    <row r="510" spans="1:8">
      <c r="A510" t="s">
        <v>2155</v>
      </c>
      <c r="B510" t="s">
        <v>2161</v>
      </c>
      <c r="D510" t="s">
        <v>57</v>
      </c>
      <c r="F510" t="s">
        <v>2162</v>
      </c>
      <c r="G510" t="s">
        <v>2160</v>
      </c>
      <c r="H510" t="str">
        <f>"020 7733 9898"</f>
        <v>020 7733 9898</v>
      </c>
    </row>
    <row r="511" spans="1:8">
      <c r="A511" t="s">
        <v>2155</v>
      </c>
      <c r="B511" t="s">
        <v>2164</v>
      </c>
      <c r="C511" t="s">
        <v>2165</v>
      </c>
      <c r="D511" t="s">
        <v>2163</v>
      </c>
      <c r="F511" t="s">
        <v>2166</v>
      </c>
      <c r="G511" t="s">
        <v>2160</v>
      </c>
      <c r="H511" t="str">
        <f>"0208 892 7576"</f>
        <v>0208 892 7576</v>
      </c>
    </row>
    <row r="512" spans="1:8">
      <c r="A512" t="s">
        <v>2155</v>
      </c>
      <c r="B512" t="s">
        <v>2167</v>
      </c>
      <c r="D512" t="s">
        <v>88</v>
      </c>
      <c r="E512" t="s">
        <v>2168</v>
      </c>
      <c r="F512" t="s">
        <v>2169</v>
      </c>
      <c r="G512" t="s">
        <v>2160</v>
      </c>
      <c r="H512" t="str">
        <f>"01323 819519"</f>
        <v>01323 819519</v>
      </c>
    </row>
    <row r="513" spans="1:8">
      <c r="A513" t="s">
        <v>2170</v>
      </c>
      <c r="B513" t="s">
        <v>2171</v>
      </c>
      <c r="C513" t="s">
        <v>2172</v>
      </c>
      <c r="D513" t="s">
        <v>213</v>
      </c>
      <c r="E513" t="s">
        <v>227</v>
      </c>
      <c r="F513" t="s">
        <v>2173</v>
      </c>
      <c r="G513" t="s">
        <v>2174</v>
      </c>
      <c r="H513" t="str">
        <f>"01709 817112"</f>
        <v>01709 817112</v>
      </c>
    </row>
    <row r="514" spans="1:8">
      <c r="A514" t="s">
        <v>2175</v>
      </c>
      <c r="B514" t="s">
        <v>2176</v>
      </c>
      <c r="C514" t="s">
        <v>2177</v>
      </c>
      <c r="D514" t="s">
        <v>2178</v>
      </c>
      <c r="E514" t="s">
        <v>340</v>
      </c>
      <c r="F514" t="s">
        <v>2179</v>
      </c>
      <c r="G514" t="s">
        <v>2180</v>
      </c>
      <c r="H514" t="str">
        <f>"0191 2766880"</f>
        <v>0191 2766880</v>
      </c>
    </row>
    <row r="515" spans="1:8">
      <c r="A515" t="s">
        <v>2175</v>
      </c>
      <c r="B515" t="s">
        <v>2181</v>
      </c>
      <c r="D515" t="s">
        <v>2178</v>
      </c>
      <c r="E515" t="s">
        <v>340</v>
      </c>
      <c r="F515" t="s">
        <v>2182</v>
      </c>
      <c r="G515" t="s">
        <v>2183</v>
      </c>
      <c r="H515" t="str">
        <f>"0191 2660008"</f>
        <v>0191 2660008</v>
      </c>
    </row>
    <row r="516" spans="1:8">
      <c r="A516" t="s">
        <v>2184</v>
      </c>
      <c r="B516" t="s">
        <v>2185</v>
      </c>
      <c r="D516" t="s">
        <v>2186</v>
      </c>
      <c r="E516" t="s">
        <v>121</v>
      </c>
      <c r="F516" t="s">
        <v>2187</v>
      </c>
      <c r="G516" t="s">
        <v>2188</v>
      </c>
      <c r="H516" t="str">
        <f>"01243200520"</f>
        <v>01243200520</v>
      </c>
    </row>
    <row r="517" spans="1:8">
      <c r="A517" t="s">
        <v>2184</v>
      </c>
      <c r="B517" t="s">
        <v>2189</v>
      </c>
      <c r="D517" t="s">
        <v>2186</v>
      </c>
      <c r="F517" t="s">
        <v>2190</v>
      </c>
      <c r="G517" t="s">
        <v>2188</v>
      </c>
      <c r="H517" t="str">
        <f>"01243 377231"</f>
        <v>01243 377231</v>
      </c>
    </row>
    <row r="518" spans="1:8">
      <c r="A518" t="s">
        <v>2191</v>
      </c>
      <c r="B518" t="s">
        <v>2192</v>
      </c>
      <c r="D518" t="s">
        <v>61</v>
      </c>
      <c r="F518" t="s">
        <v>2193</v>
      </c>
      <c r="G518" t="s">
        <v>2194</v>
      </c>
      <c r="H518" t="str">
        <f>"0117 9098458"</f>
        <v>0117 9098458</v>
      </c>
    </row>
    <row r="519" spans="1:8">
      <c r="A519" t="s">
        <v>2191</v>
      </c>
      <c r="B519" t="s">
        <v>2196</v>
      </c>
      <c r="C519" t="s">
        <v>2195</v>
      </c>
      <c r="D519" t="s">
        <v>61</v>
      </c>
      <c r="E519" t="s">
        <v>1956</v>
      </c>
      <c r="F519" t="s">
        <v>2197</v>
      </c>
      <c r="G519" t="s">
        <v>2194</v>
      </c>
      <c r="H519" t="str">
        <f>"01454 854000"</f>
        <v>01454 854000</v>
      </c>
    </row>
    <row r="520" spans="1:8">
      <c r="A520" t="s">
        <v>2198</v>
      </c>
      <c r="B520" t="s">
        <v>2199</v>
      </c>
      <c r="C520" t="s">
        <v>2200</v>
      </c>
      <c r="D520" t="s">
        <v>552</v>
      </c>
      <c r="E520" t="s">
        <v>309</v>
      </c>
      <c r="F520" t="s">
        <v>2201</v>
      </c>
      <c r="G520" t="s">
        <v>2202</v>
      </c>
      <c r="H520" t="str">
        <f>"01752 664444"</f>
        <v>01752 664444</v>
      </c>
    </row>
    <row r="521" spans="1:8">
      <c r="A521" t="s">
        <v>2203</v>
      </c>
      <c r="B521" t="s">
        <v>2204</v>
      </c>
      <c r="D521" t="s">
        <v>217</v>
      </c>
      <c r="E521" t="s">
        <v>435</v>
      </c>
      <c r="F521" t="s">
        <v>2205</v>
      </c>
      <c r="G521" t="s">
        <v>2206</v>
      </c>
      <c r="H521" t="str">
        <f>"020 7731 0750"</f>
        <v>020 7731 0750</v>
      </c>
    </row>
    <row r="522" spans="1:8">
      <c r="A522" t="s">
        <v>2207</v>
      </c>
      <c r="B522" t="s">
        <v>2208</v>
      </c>
      <c r="C522" t="s">
        <v>552</v>
      </c>
      <c r="D522" t="s">
        <v>309</v>
      </c>
      <c r="F522" t="s">
        <v>2209</v>
      </c>
      <c r="G522" t="s">
        <v>2210</v>
      </c>
      <c r="H522" t="str">
        <f>"01752 203500"</f>
        <v>01752 203500</v>
      </c>
    </row>
    <row r="523" spans="1:8">
      <c r="A523" t="s">
        <v>2211</v>
      </c>
      <c r="B523" t="s">
        <v>2212</v>
      </c>
      <c r="C523" t="s">
        <v>2213</v>
      </c>
      <c r="D523" t="s">
        <v>2214</v>
      </c>
      <c r="E523" t="s">
        <v>315</v>
      </c>
      <c r="F523" t="s">
        <v>2215</v>
      </c>
      <c r="G523" t="s">
        <v>2216</v>
      </c>
      <c r="H523" t="str">
        <f>"0151 424 5656"</f>
        <v>0151 424 5656</v>
      </c>
    </row>
    <row r="524" spans="1:8">
      <c r="A524" t="s">
        <v>2217</v>
      </c>
      <c r="B524" t="s">
        <v>2218</v>
      </c>
      <c r="C524" t="s">
        <v>2219</v>
      </c>
      <c r="D524" t="s">
        <v>2220</v>
      </c>
      <c r="E524" t="s">
        <v>2221</v>
      </c>
      <c r="F524" t="s">
        <v>2222</v>
      </c>
      <c r="G524" t="s">
        <v>2223</v>
      </c>
      <c r="H524" t="str">
        <f>"01472 350881"</f>
        <v>01472 350881</v>
      </c>
    </row>
    <row r="525" spans="1:8">
      <c r="A525" t="s">
        <v>2224</v>
      </c>
      <c r="B525" t="s">
        <v>2225</v>
      </c>
      <c r="D525" t="s">
        <v>580</v>
      </c>
      <c r="E525" t="s">
        <v>502</v>
      </c>
      <c r="F525" t="s">
        <v>2226</v>
      </c>
      <c r="G525" t="s">
        <v>2227</v>
      </c>
      <c r="H525" t="str">
        <f>"01444 450 901"</f>
        <v>01444 450 901</v>
      </c>
    </row>
    <row r="526" spans="1:8">
      <c r="A526" t="s">
        <v>2228</v>
      </c>
      <c r="B526" t="s">
        <v>2229</v>
      </c>
      <c r="D526" t="s">
        <v>1566</v>
      </c>
      <c r="E526" t="s">
        <v>164</v>
      </c>
      <c r="F526" t="s">
        <v>2230</v>
      </c>
      <c r="G526" t="s">
        <v>2231</v>
      </c>
      <c r="H526" t="str">
        <f>"01202 881454"</f>
        <v>01202 881454</v>
      </c>
    </row>
    <row r="527" spans="1:8">
      <c r="A527" t="s">
        <v>2228</v>
      </c>
      <c r="B527" t="s">
        <v>2232</v>
      </c>
      <c r="D527" t="s">
        <v>2233</v>
      </c>
      <c r="E527" t="s">
        <v>164</v>
      </c>
      <c r="F527" t="s">
        <v>2234</v>
      </c>
      <c r="G527" t="s">
        <v>2235</v>
      </c>
      <c r="H527" t="str">
        <f>"01202 482202"</f>
        <v>01202 482202</v>
      </c>
    </row>
    <row r="528" spans="1:8">
      <c r="A528" t="s">
        <v>2228</v>
      </c>
      <c r="B528" t="s">
        <v>2236</v>
      </c>
      <c r="D528" t="s">
        <v>2237</v>
      </c>
      <c r="E528" t="s">
        <v>164</v>
      </c>
      <c r="F528" t="s">
        <v>2238</v>
      </c>
      <c r="G528" t="s">
        <v>2239</v>
      </c>
      <c r="H528" t="str">
        <f>"01202 692448"</f>
        <v>01202 692448</v>
      </c>
    </row>
    <row r="529" spans="1:8">
      <c r="A529" t="s">
        <v>2228</v>
      </c>
      <c r="B529" t="s">
        <v>2240</v>
      </c>
      <c r="D529" t="s">
        <v>2241</v>
      </c>
      <c r="E529" t="s">
        <v>164</v>
      </c>
      <c r="F529" t="s">
        <v>2242</v>
      </c>
      <c r="G529" t="s">
        <v>2243</v>
      </c>
      <c r="H529" t="str">
        <f>"01202 823308"</f>
        <v>01202 823308</v>
      </c>
    </row>
    <row r="530" spans="1:8">
      <c r="A530" t="s">
        <v>2228</v>
      </c>
      <c r="B530" t="s">
        <v>2244</v>
      </c>
      <c r="D530" t="s">
        <v>2245</v>
      </c>
      <c r="F530" t="s">
        <v>2246</v>
      </c>
      <c r="G530" t="s">
        <v>2247</v>
      </c>
      <c r="H530" t="str">
        <f>"01202 203 222"</f>
        <v>01202 203 222</v>
      </c>
    </row>
    <row r="531" spans="1:8">
      <c r="A531" t="s">
        <v>2248</v>
      </c>
      <c r="B531" t="s">
        <v>2249</v>
      </c>
      <c r="C531" t="s">
        <v>2250</v>
      </c>
      <c r="D531" t="s">
        <v>2251</v>
      </c>
      <c r="E531" t="s">
        <v>616</v>
      </c>
      <c r="F531" t="s">
        <v>2252</v>
      </c>
      <c r="G531" t="s">
        <v>2253</v>
      </c>
      <c r="H531" t="str">
        <f>"01756 799000"</f>
        <v>01756 799000</v>
      </c>
    </row>
    <row r="532" spans="1:8">
      <c r="A532" t="s">
        <v>2254</v>
      </c>
      <c r="B532" t="s">
        <v>2255</v>
      </c>
      <c r="D532" t="s">
        <v>226</v>
      </c>
      <c r="E532" t="s">
        <v>227</v>
      </c>
      <c r="F532" t="s">
        <v>2256</v>
      </c>
      <c r="G532" t="s">
        <v>2257</v>
      </c>
      <c r="H532" t="str">
        <f>"01302 340005"</f>
        <v>01302 340005</v>
      </c>
    </row>
    <row r="533" spans="1:8">
      <c r="A533" t="s">
        <v>2254</v>
      </c>
      <c r="B533" t="s">
        <v>2258</v>
      </c>
      <c r="C533" t="s">
        <v>2259</v>
      </c>
      <c r="D533" t="s">
        <v>213</v>
      </c>
      <c r="E533" t="s">
        <v>227</v>
      </c>
      <c r="F533" t="s">
        <v>2260</v>
      </c>
      <c r="G533" t="s">
        <v>2257</v>
      </c>
      <c r="H533" t="str">
        <f>"01709 836866"</f>
        <v>01709 836866</v>
      </c>
    </row>
    <row r="534" spans="1:8">
      <c r="A534" t="s">
        <v>2254</v>
      </c>
      <c r="B534" t="s">
        <v>2261</v>
      </c>
      <c r="C534" t="s">
        <v>2262</v>
      </c>
      <c r="D534" t="s">
        <v>226</v>
      </c>
      <c r="F534" t="s">
        <v>2263</v>
      </c>
      <c r="G534" t="s">
        <v>2257</v>
      </c>
      <c r="H534" t="str">
        <f>"01302 340005"</f>
        <v>01302 340005</v>
      </c>
    </row>
    <row r="535" spans="1:8">
      <c r="A535" t="s">
        <v>2264</v>
      </c>
      <c r="B535" t="s">
        <v>2265</v>
      </c>
      <c r="D535" t="s">
        <v>2266</v>
      </c>
      <c r="E535" t="s">
        <v>893</v>
      </c>
      <c r="F535" t="s">
        <v>2267</v>
      </c>
      <c r="G535" t="s">
        <v>2268</v>
      </c>
      <c r="H535" t="str">
        <f>"01744 626600"</f>
        <v>01744 626600</v>
      </c>
    </row>
    <row r="536" spans="1:8">
      <c r="A536" t="s">
        <v>2264</v>
      </c>
      <c r="B536" t="s">
        <v>2269</v>
      </c>
      <c r="C536" t="s">
        <v>2270</v>
      </c>
      <c r="D536" t="s">
        <v>1313</v>
      </c>
      <c r="F536" t="s">
        <v>2271</v>
      </c>
      <c r="G536" t="s">
        <v>2268</v>
      </c>
      <c r="H536" t="str">
        <f>"01942 582190"</f>
        <v>01942 582190</v>
      </c>
    </row>
    <row r="537" spans="1:8">
      <c r="A537" t="s">
        <v>2272</v>
      </c>
      <c r="B537" t="s">
        <v>2273</v>
      </c>
      <c r="C537" t="s">
        <v>2274</v>
      </c>
      <c r="D537" t="s">
        <v>57</v>
      </c>
      <c r="F537" t="s">
        <v>2275</v>
      </c>
      <c r="G537" t="s">
        <v>2276</v>
      </c>
      <c r="H537" t="str">
        <f>"020 7725 8000"</f>
        <v>020 7725 8000</v>
      </c>
    </row>
    <row r="538" spans="1:8">
      <c r="A538" t="s">
        <v>2277</v>
      </c>
      <c r="B538" t="s">
        <v>2278</v>
      </c>
      <c r="C538" t="s">
        <v>2279</v>
      </c>
      <c r="D538" t="s">
        <v>2280</v>
      </c>
      <c r="E538" t="s">
        <v>2281</v>
      </c>
      <c r="F538" t="s">
        <v>2282</v>
      </c>
      <c r="G538" t="s">
        <v>2283</v>
      </c>
      <c r="H538" t="str">
        <f>"01872 263813"</f>
        <v>01872 263813</v>
      </c>
    </row>
    <row r="539" spans="1:8">
      <c r="A539" t="s">
        <v>2277</v>
      </c>
      <c r="B539" t="s">
        <v>2285</v>
      </c>
      <c r="C539" t="s">
        <v>2286</v>
      </c>
      <c r="D539" t="s">
        <v>2284</v>
      </c>
      <c r="E539" t="s">
        <v>2281</v>
      </c>
      <c r="F539" t="s">
        <v>2287</v>
      </c>
      <c r="G539" t="s">
        <v>2283</v>
      </c>
      <c r="H539" t="str">
        <f>"01726 67660"</f>
        <v>01726 67660</v>
      </c>
    </row>
    <row r="540" spans="1:8">
      <c r="A540" t="s">
        <v>2277</v>
      </c>
      <c r="B540" t="s">
        <v>2289</v>
      </c>
      <c r="D540" t="s">
        <v>2288</v>
      </c>
      <c r="E540" t="s">
        <v>2281</v>
      </c>
      <c r="F540" t="s">
        <v>2290</v>
      </c>
      <c r="G540" t="s">
        <v>2283</v>
      </c>
      <c r="H540" t="str">
        <f>"01637 818415"</f>
        <v>01637 818415</v>
      </c>
    </row>
    <row r="541" spans="1:8">
      <c r="A541" t="s">
        <v>2291</v>
      </c>
      <c r="B541" t="s">
        <v>2292</v>
      </c>
      <c r="D541" t="s">
        <v>57</v>
      </c>
      <c r="F541" t="s">
        <v>2293</v>
      </c>
      <c r="G541" t="s">
        <v>2294</v>
      </c>
      <c r="H541" t="str">
        <f>"0207 936 2930"</f>
        <v>0207 936 2930</v>
      </c>
    </row>
    <row r="542" spans="1:8">
      <c r="A542" t="s">
        <v>2291</v>
      </c>
      <c r="B542" t="s">
        <v>2296</v>
      </c>
      <c r="D542" t="s">
        <v>2295</v>
      </c>
      <c r="E542" t="s">
        <v>121</v>
      </c>
      <c r="F542" t="s">
        <v>2297</v>
      </c>
      <c r="G542" t="s">
        <v>2298</v>
      </c>
      <c r="H542" t="str">
        <f>"01252 629292"</f>
        <v>01252 629292</v>
      </c>
    </row>
    <row r="543" spans="1:8">
      <c r="A543" t="s">
        <v>2291</v>
      </c>
      <c r="B543" t="s">
        <v>2300</v>
      </c>
      <c r="D543" t="s">
        <v>2299</v>
      </c>
      <c r="E543" t="s">
        <v>200</v>
      </c>
      <c r="F543" t="s">
        <v>2301</v>
      </c>
      <c r="G543" t="s">
        <v>2302</v>
      </c>
      <c r="H543" t="str">
        <f>"01932 858833"</f>
        <v>01932 858833</v>
      </c>
    </row>
    <row r="544" spans="1:8">
      <c r="A544" t="s">
        <v>2291</v>
      </c>
      <c r="B544" t="s">
        <v>2303</v>
      </c>
      <c r="D544" t="s">
        <v>2304</v>
      </c>
      <c r="E544" t="s">
        <v>121</v>
      </c>
      <c r="F544" t="s">
        <v>2305</v>
      </c>
      <c r="G544" t="s">
        <v>2306</v>
      </c>
      <c r="H544" t="str">
        <f>"01256 760074"</f>
        <v>01256 760074</v>
      </c>
    </row>
    <row r="545" spans="1:8">
      <c r="A545" t="s">
        <v>2291</v>
      </c>
      <c r="B545" t="s">
        <v>2308</v>
      </c>
      <c r="C545" t="s">
        <v>2307</v>
      </c>
      <c r="D545" t="s">
        <v>2304</v>
      </c>
      <c r="E545" t="s">
        <v>121</v>
      </c>
      <c r="F545" t="s">
        <v>2309</v>
      </c>
      <c r="G545" t="s">
        <v>2310</v>
      </c>
      <c r="H545" t="str">
        <f>"01256 709900"</f>
        <v>01256 709900</v>
      </c>
    </row>
    <row r="546" spans="1:8">
      <c r="A546" t="s">
        <v>2291</v>
      </c>
      <c r="B546" t="s">
        <v>2312</v>
      </c>
      <c r="D546" t="s">
        <v>830</v>
      </c>
      <c r="F546" t="s">
        <v>2313</v>
      </c>
      <c r="G546" t="s">
        <v>2314</v>
      </c>
      <c r="H546" t="str">
        <f>"01702 472222"</f>
        <v>01702 472222</v>
      </c>
    </row>
    <row r="547" spans="1:8">
      <c r="A547" t="s">
        <v>2291</v>
      </c>
      <c r="B547" t="s">
        <v>2316</v>
      </c>
      <c r="C547" t="s">
        <v>495</v>
      </c>
      <c r="D547" t="s">
        <v>2315</v>
      </c>
      <c r="E547" t="s">
        <v>121</v>
      </c>
      <c r="F547" t="s">
        <v>2317</v>
      </c>
      <c r="G547" t="s">
        <v>2318</v>
      </c>
      <c r="H547" t="str">
        <f>"01252 844443"</f>
        <v>01252 844443</v>
      </c>
    </row>
    <row r="548" spans="1:8">
      <c r="A548" t="s">
        <v>2291</v>
      </c>
      <c r="B548" t="s">
        <v>2319</v>
      </c>
      <c r="D548" t="s">
        <v>334</v>
      </c>
      <c r="E548" t="s">
        <v>121</v>
      </c>
      <c r="F548" t="s">
        <v>2320</v>
      </c>
      <c r="G548" t="s">
        <v>2321</v>
      </c>
      <c r="H548" t="str">
        <f>"01256 464311"</f>
        <v>01256 464311</v>
      </c>
    </row>
    <row r="549" spans="1:8">
      <c r="A549" t="s">
        <v>2322</v>
      </c>
      <c r="B549" t="s">
        <v>2323</v>
      </c>
      <c r="D549" t="s">
        <v>2324</v>
      </c>
      <c r="E549" t="s">
        <v>200</v>
      </c>
      <c r="F549" t="s">
        <v>2325</v>
      </c>
      <c r="G549" t="s">
        <v>2326</v>
      </c>
      <c r="H549" t="str">
        <f>"0208 6802638"</f>
        <v>0208 6802638</v>
      </c>
    </row>
    <row r="550" spans="1:8">
      <c r="A550" t="s">
        <v>2322</v>
      </c>
      <c r="B550" t="s">
        <v>2327</v>
      </c>
      <c r="C550" t="s">
        <v>495</v>
      </c>
      <c r="D550" t="s">
        <v>2328</v>
      </c>
      <c r="E550" t="s">
        <v>200</v>
      </c>
      <c r="F550" t="s">
        <v>2329</v>
      </c>
      <c r="G550" t="s">
        <v>2326</v>
      </c>
      <c r="H550" t="str">
        <f>"0208 6604877"</f>
        <v>0208 6604877</v>
      </c>
    </row>
    <row r="551" spans="1:8">
      <c r="A551" t="s">
        <v>2322</v>
      </c>
      <c r="B551" t="s">
        <v>2330</v>
      </c>
      <c r="D551" t="s">
        <v>2331</v>
      </c>
      <c r="E551" t="s">
        <v>200</v>
      </c>
      <c r="F551" t="s">
        <v>2332</v>
      </c>
      <c r="G551" t="s">
        <v>2326</v>
      </c>
      <c r="H551" t="str">
        <f>"01883 622433"</f>
        <v>01883 622433</v>
      </c>
    </row>
    <row r="552" spans="1:8">
      <c r="A552" t="s">
        <v>2322</v>
      </c>
      <c r="B552" t="s">
        <v>2334</v>
      </c>
      <c r="D552" t="s">
        <v>2333</v>
      </c>
      <c r="F552" t="s">
        <v>2335</v>
      </c>
      <c r="G552" t="s">
        <v>2326</v>
      </c>
      <c r="H552" t="str">
        <f>"01737 652490"</f>
        <v>01737 652490</v>
      </c>
    </row>
    <row r="553" spans="1:8">
      <c r="A553" t="s">
        <v>2322</v>
      </c>
      <c r="B553" t="s">
        <v>2337</v>
      </c>
      <c r="D553" t="s">
        <v>2336</v>
      </c>
      <c r="F553" t="s">
        <v>2338</v>
      </c>
      <c r="G553" t="s">
        <v>2326</v>
      </c>
      <c r="H553" t="str">
        <f>"01883712721"</f>
        <v>01883712721</v>
      </c>
    </row>
    <row r="554" spans="1:8">
      <c r="A554" t="s">
        <v>2339</v>
      </c>
      <c r="B554" t="s">
        <v>2340</v>
      </c>
      <c r="D554" t="s">
        <v>61</v>
      </c>
      <c r="F554" t="s">
        <v>2341</v>
      </c>
      <c r="G554" t="s">
        <v>2342</v>
      </c>
      <c r="H554" t="str">
        <f>"0117 915 4900 "</f>
        <v xml:space="preserve">0117 915 4900 </v>
      </c>
    </row>
    <row r="555" spans="1:8">
      <c r="A555" t="s">
        <v>2339</v>
      </c>
      <c r="B555" t="s">
        <v>2343</v>
      </c>
      <c r="C555" t="s">
        <v>2344</v>
      </c>
      <c r="D555" t="s">
        <v>552</v>
      </c>
      <c r="E555" t="s">
        <v>309</v>
      </c>
      <c r="F555" t="s">
        <v>2345</v>
      </c>
      <c r="G555" t="s">
        <v>2342</v>
      </c>
      <c r="H555" t="str">
        <f>"01752 675000"</f>
        <v>01752 675000</v>
      </c>
    </row>
    <row r="556" spans="1:8">
      <c r="A556" t="s">
        <v>2339</v>
      </c>
      <c r="B556" t="s">
        <v>2346</v>
      </c>
      <c r="C556" t="s">
        <v>558</v>
      </c>
      <c r="D556" t="s">
        <v>549</v>
      </c>
      <c r="E556" t="s">
        <v>309</v>
      </c>
      <c r="F556" t="s">
        <v>2347</v>
      </c>
      <c r="G556" t="s">
        <v>2342</v>
      </c>
      <c r="H556" t="str">
        <f>"01392 411221"</f>
        <v>01392 411221</v>
      </c>
    </row>
    <row r="557" spans="1:8">
      <c r="A557" t="s">
        <v>2339</v>
      </c>
      <c r="B557" t="s">
        <v>2348</v>
      </c>
      <c r="C557" t="s">
        <v>2349</v>
      </c>
      <c r="D557" t="s">
        <v>2280</v>
      </c>
      <c r="E557" t="s">
        <v>2281</v>
      </c>
      <c r="F557" t="s">
        <v>2350</v>
      </c>
      <c r="G557" t="s">
        <v>2351</v>
      </c>
      <c r="H557" t="str">
        <f>"01872 243300"</f>
        <v>01872 243300</v>
      </c>
    </row>
    <row r="558" spans="1:8">
      <c r="A558" t="s">
        <v>2339</v>
      </c>
      <c r="B558" t="s">
        <v>2352</v>
      </c>
      <c r="C558" t="s">
        <v>2353</v>
      </c>
      <c r="D558" t="s">
        <v>1135</v>
      </c>
      <c r="E558" t="s">
        <v>464</v>
      </c>
      <c r="F558" t="s">
        <v>1138</v>
      </c>
      <c r="G558" t="s">
        <v>2342</v>
      </c>
      <c r="H558" t="str">
        <f>"01823 625600"</f>
        <v>01823 625600</v>
      </c>
    </row>
    <row r="559" spans="1:8">
      <c r="A559" t="s">
        <v>2339</v>
      </c>
      <c r="B559" t="s">
        <v>2354</v>
      </c>
      <c r="D559" t="s">
        <v>57</v>
      </c>
      <c r="F559" t="s">
        <v>2355</v>
      </c>
      <c r="G559" t="s">
        <v>2351</v>
      </c>
      <c r="H559" t="str">
        <f>"0207 263 0001 "</f>
        <v xml:space="preserve">0207 263 0001 </v>
      </c>
    </row>
    <row r="560" spans="1:8">
      <c r="A560" t="s">
        <v>2339</v>
      </c>
      <c r="B560" t="s">
        <v>2356</v>
      </c>
      <c r="D560" t="s">
        <v>124</v>
      </c>
      <c r="F560" t="s">
        <v>2357</v>
      </c>
      <c r="G560" t="s">
        <v>2342</v>
      </c>
      <c r="H560" t="str">
        <f>"02380 172222"</f>
        <v>02380 172222</v>
      </c>
    </row>
    <row r="561" spans="1:8">
      <c r="A561" t="s">
        <v>2358</v>
      </c>
      <c r="B561" t="s">
        <v>2359</v>
      </c>
      <c r="D561" t="s">
        <v>2360</v>
      </c>
      <c r="E561" t="s">
        <v>2006</v>
      </c>
      <c r="F561" t="s">
        <v>2361</v>
      </c>
      <c r="G561" t="s">
        <v>2362</v>
      </c>
      <c r="H561" t="str">
        <f>"02083702800"</f>
        <v>02083702800</v>
      </c>
    </row>
    <row r="562" spans="1:8">
      <c r="A562" t="s">
        <v>2358</v>
      </c>
      <c r="B562" t="s">
        <v>2363</v>
      </c>
      <c r="D562" t="s">
        <v>2364</v>
      </c>
      <c r="E562" t="s">
        <v>184</v>
      </c>
      <c r="F562" t="s">
        <v>2365</v>
      </c>
      <c r="G562" t="s">
        <v>2366</v>
      </c>
      <c r="H562" t="str">
        <f>"01992 626366"</f>
        <v>01992 626366</v>
      </c>
    </row>
    <row r="563" spans="1:8">
      <c r="A563" t="s">
        <v>2358</v>
      </c>
      <c r="B563" t="s">
        <v>2367</v>
      </c>
      <c r="C563" t="s">
        <v>2368</v>
      </c>
      <c r="D563" t="s">
        <v>57</v>
      </c>
      <c r="E563" t="s">
        <v>57</v>
      </c>
      <c r="F563" t="s">
        <v>2369</v>
      </c>
      <c r="G563" t="s">
        <v>2366</v>
      </c>
      <c r="H563" t="str">
        <f>"02083406697"</f>
        <v>02083406697</v>
      </c>
    </row>
    <row r="564" spans="1:8">
      <c r="A564" t="s">
        <v>2358</v>
      </c>
      <c r="B564" t="s">
        <v>2370</v>
      </c>
      <c r="C564" t="s">
        <v>2371</v>
      </c>
      <c r="D564" t="s">
        <v>1693</v>
      </c>
      <c r="E564" t="s">
        <v>736</v>
      </c>
      <c r="F564" t="s">
        <v>2372</v>
      </c>
      <c r="G564" t="s">
        <v>2366</v>
      </c>
      <c r="H564" t="str">
        <f>"01279418601"</f>
        <v>01279418601</v>
      </c>
    </row>
    <row r="565" spans="1:8">
      <c r="A565" t="s">
        <v>2373</v>
      </c>
      <c r="B565" t="s">
        <v>2374</v>
      </c>
      <c r="C565" t="s">
        <v>2375</v>
      </c>
      <c r="D565" t="s">
        <v>549</v>
      </c>
      <c r="E565" t="s">
        <v>309</v>
      </c>
      <c r="F565" t="s">
        <v>2376</v>
      </c>
      <c r="G565" t="s">
        <v>2377</v>
      </c>
      <c r="H565" t="str">
        <f>"0333 004 3456"</f>
        <v>0333 004 3456</v>
      </c>
    </row>
    <row r="566" spans="1:8">
      <c r="A566" t="s">
        <v>2373</v>
      </c>
      <c r="B566" t="s">
        <v>2378</v>
      </c>
      <c r="C566" t="s">
        <v>2379</v>
      </c>
      <c r="D566" t="s">
        <v>2380</v>
      </c>
      <c r="E566" t="s">
        <v>309</v>
      </c>
      <c r="F566" t="s">
        <v>2381</v>
      </c>
      <c r="G566" t="s">
        <v>2382</v>
      </c>
      <c r="H566" t="str">
        <f>"0333 004 3456"</f>
        <v>0333 004 3456</v>
      </c>
    </row>
    <row r="567" spans="1:8">
      <c r="A567" t="s">
        <v>2373</v>
      </c>
      <c r="B567" t="s">
        <v>2383</v>
      </c>
      <c r="D567" t="s">
        <v>61</v>
      </c>
      <c r="F567" t="s">
        <v>2384</v>
      </c>
      <c r="G567" t="s">
        <v>2385</v>
      </c>
      <c r="H567" t="str">
        <f>"0333 004 3456"</f>
        <v>0333 004 3456</v>
      </c>
    </row>
    <row r="568" spans="1:8">
      <c r="A568" t="s">
        <v>2373</v>
      </c>
      <c r="B568" t="s">
        <v>2386</v>
      </c>
      <c r="D568" t="s">
        <v>57</v>
      </c>
      <c r="F568" t="s">
        <v>2387</v>
      </c>
      <c r="G568" t="s">
        <v>2385</v>
      </c>
      <c r="H568" t="str">
        <f>"0333 004 3456"</f>
        <v>0333 004 3456</v>
      </c>
    </row>
    <row r="569" spans="1:8">
      <c r="A569" t="s">
        <v>2373</v>
      </c>
      <c r="B569" t="s">
        <v>2388</v>
      </c>
      <c r="C569" t="s">
        <v>2389</v>
      </c>
      <c r="D569" t="s">
        <v>158</v>
      </c>
      <c r="F569" t="s">
        <v>2390</v>
      </c>
      <c r="G569" t="s">
        <v>2385</v>
      </c>
      <c r="H569" t="str">
        <f>"03330443456"</f>
        <v>03330443456</v>
      </c>
    </row>
    <row r="570" spans="1:8">
      <c r="A570" t="s">
        <v>2373</v>
      </c>
      <c r="B570" t="s">
        <v>2391</v>
      </c>
      <c r="D570" t="s">
        <v>379</v>
      </c>
      <c r="F570" t="s">
        <v>2392</v>
      </c>
      <c r="G570" t="s">
        <v>2385</v>
      </c>
      <c r="H570" t="str">
        <f>"0333 004 3456"</f>
        <v>0333 004 3456</v>
      </c>
    </row>
    <row r="571" spans="1:8">
      <c r="A571" t="s">
        <v>2393</v>
      </c>
      <c r="B571" t="s">
        <v>2394</v>
      </c>
      <c r="D571" t="s">
        <v>2395</v>
      </c>
      <c r="E571" t="s">
        <v>200</v>
      </c>
      <c r="F571" t="s">
        <v>2396</v>
      </c>
      <c r="G571" t="s">
        <v>2397</v>
      </c>
      <c r="H571" t="str">
        <f>"020 8549 5186"</f>
        <v>020 8549 5186</v>
      </c>
    </row>
    <row r="572" spans="1:8">
      <c r="A572" t="s">
        <v>2393</v>
      </c>
      <c r="B572" t="s">
        <v>2398</v>
      </c>
      <c r="D572" t="s">
        <v>2399</v>
      </c>
      <c r="E572" t="s">
        <v>200</v>
      </c>
      <c r="F572" t="s">
        <v>2400</v>
      </c>
      <c r="G572" t="s">
        <v>2397</v>
      </c>
      <c r="H572" t="str">
        <f>"01932 234500"</f>
        <v>01932 234500</v>
      </c>
    </row>
    <row r="573" spans="1:8">
      <c r="A573" t="s">
        <v>2393</v>
      </c>
      <c r="B573" t="s">
        <v>2401</v>
      </c>
      <c r="C573" t="s">
        <v>2402</v>
      </c>
      <c r="D573" t="s">
        <v>1759</v>
      </c>
      <c r="E573" t="s">
        <v>200</v>
      </c>
      <c r="F573" t="s">
        <v>2403</v>
      </c>
      <c r="G573" t="s">
        <v>2397</v>
      </c>
      <c r="H573" t="str">
        <f>"01372 860650"</f>
        <v>01372 860650</v>
      </c>
    </row>
    <row r="574" spans="1:8">
      <c r="A574" t="s">
        <v>2393</v>
      </c>
      <c r="B574" t="s">
        <v>2405</v>
      </c>
      <c r="C574" t="s">
        <v>2404</v>
      </c>
      <c r="D574" t="s">
        <v>590</v>
      </c>
      <c r="E574" t="s">
        <v>200</v>
      </c>
      <c r="F574" t="s">
        <v>2406</v>
      </c>
      <c r="G574" t="s">
        <v>2397</v>
      </c>
      <c r="H574" t="str">
        <f>"0208 939 7300"</f>
        <v>0208 939 7300</v>
      </c>
    </row>
    <row r="575" spans="1:8">
      <c r="A575" t="s">
        <v>2393</v>
      </c>
      <c r="B575" t="s">
        <v>2407</v>
      </c>
      <c r="D575" t="s">
        <v>2408</v>
      </c>
      <c r="E575" t="s">
        <v>200</v>
      </c>
      <c r="F575" t="s">
        <v>2409</v>
      </c>
      <c r="G575" t="s">
        <v>2397</v>
      </c>
      <c r="H575" t="str">
        <f>"0208 549 5183"</f>
        <v>0208 549 5183</v>
      </c>
    </row>
    <row r="576" spans="1:8">
      <c r="A576" t="s">
        <v>2393</v>
      </c>
      <c r="B576" t="s">
        <v>2410</v>
      </c>
      <c r="D576" t="s">
        <v>2411</v>
      </c>
      <c r="E576" t="s">
        <v>57</v>
      </c>
      <c r="F576" t="s">
        <v>2412</v>
      </c>
      <c r="G576" t="s">
        <v>2397</v>
      </c>
      <c r="H576" t="str">
        <f>"0208 549 5183"</f>
        <v>0208 549 5183</v>
      </c>
    </row>
    <row r="577" spans="1:8">
      <c r="A577" t="s">
        <v>2413</v>
      </c>
      <c r="B577" t="s">
        <v>2414</v>
      </c>
      <c r="C577" t="s">
        <v>2415</v>
      </c>
      <c r="D577" t="s">
        <v>303</v>
      </c>
      <c r="F577" t="s">
        <v>2416</v>
      </c>
      <c r="G577" t="s">
        <v>2417</v>
      </c>
      <c r="H577" t="str">
        <f>"02920 291704"</f>
        <v>02920 291704</v>
      </c>
    </row>
    <row r="578" spans="1:8">
      <c r="A578" t="s">
        <v>2413</v>
      </c>
      <c r="B578" t="s">
        <v>2419</v>
      </c>
      <c r="D578" t="s">
        <v>2418</v>
      </c>
      <c r="F578" t="s">
        <v>2420</v>
      </c>
      <c r="G578" t="s">
        <v>2421</v>
      </c>
      <c r="H578" t="str">
        <f>"01685 888 730"</f>
        <v>01685 888 730</v>
      </c>
    </row>
    <row r="579" spans="1:8">
      <c r="A579" t="s">
        <v>2413</v>
      </c>
      <c r="B579" t="s">
        <v>2422</v>
      </c>
      <c r="C579" t="s">
        <v>2423</v>
      </c>
      <c r="D579" t="s">
        <v>61</v>
      </c>
      <c r="F579" t="s">
        <v>2424</v>
      </c>
      <c r="G579" t="s">
        <v>2425</v>
      </c>
      <c r="H579" t="str">
        <f>"01454 275190"</f>
        <v>01454 275190</v>
      </c>
    </row>
    <row r="580" spans="1:8">
      <c r="A580" t="s">
        <v>2413</v>
      </c>
      <c r="B580" t="s">
        <v>2426</v>
      </c>
      <c r="D580" t="s">
        <v>1054</v>
      </c>
      <c r="F580" t="s">
        <v>2427</v>
      </c>
      <c r="G580" t="s">
        <v>2417</v>
      </c>
      <c r="H580" t="str">
        <f>"01792 983 755"</f>
        <v>01792 983 755</v>
      </c>
    </row>
    <row r="581" spans="1:8">
      <c r="A581" t="s">
        <v>2428</v>
      </c>
      <c r="B581" t="s">
        <v>2429</v>
      </c>
      <c r="D581" t="s">
        <v>2430</v>
      </c>
      <c r="E581" t="s">
        <v>340</v>
      </c>
      <c r="F581" t="s">
        <v>2431</v>
      </c>
      <c r="G581" t="s">
        <v>2432</v>
      </c>
      <c r="H581" t="str">
        <f>"0191 5144323"</f>
        <v>0191 5144323</v>
      </c>
    </row>
    <row r="582" spans="1:8">
      <c r="A582" t="s">
        <v>2428</v>
      </c>
      <c r="B582" t="s">
        <v>2433</v>
      </c>
      <c r="D582" t="s">
        <v>2434</v>
      </c>
      <c r="E582" t="s">
        <v>1487</v>
      </c>
      <c r="F582" t="s">
        <v>2435</v>
      </c>
      <c r="G582" t="s">
        <v>2432</v>
      </c>
      <c r="H582" t="str">
        <f>"01915118222"</f>
        <v>01915118222</v>
      </c>
    </row>
    <row r="583" spans="1:8">
      <c r="A583" t="s">
        <v>2428</v>
      </c>
      <c r="B583" t="s">
        <v>2436</v>
      </c>
      <c r="C583" t="s">
        <v>2437</v>
      </c>
      <c r="D583" t="s">
        <v>2438</v>
      </c>
      <c r="E583" t="s">
        <v>1487</v>
      </c>
      <c r="F583" t="s">
        <v>2439</v>
      </c>
      <c r="G583" t="s">
        <v>2432</v>
      </c>
      <c r="H583" t="str">
        <f>"01913 742555"</f>
        <v>01913 742555</v>
      </c>
    </row>
    <row r="584" spans="1:8">
      <c r="A584" t="s">
        <v>2440</v>
      </c>
      <c r="B584" t="s">
        <v>2441</v>
      </c>
      <c r="D584" t="s">
        <v>217</v>
      </c>
      <c r="F584" t="s">
        <v>2442</v>
      </c>
      <c r="G584" t="s">
        <v>2443</v>
      </c>
      <c r="H584" t="str">
        <f>"020 3755 5500"</f>
        <v>020 3755 5500</v>
      </c>
    </row>
    <row r="585" spans="1:8">
      <c r="A585" t="s">
        <v>2444</v>
      </c>
      <c r="B585" t="s">
        <v>2445</v>
      </c>
      <c r="C585" t="s">
        <v>2446</v>
      </c>
      <c r="D585" t="s">
        <v>2447</v>
      </c>
      <c r="E585" t="s">
        <v>236</v>
      </c>
      <c r="F585" t="s">
        <v>2448</v>
      </c>
      <c r="G585" t="s">
        <v>2449</v>
      </c>
      <c r="H585" t="str">
        <f>"01827 317070"</f>
        <v>01827 317070</v>
      </c>
    </row>
    <row r="586" spans="1:8">
      <c r="A586" t="s">
        <v>2450</v>
      </c>
      <c r="B586" t="s">
        <v>2451</v>
      </c>
      <c r="C586" t="s">
        <v>2452</v>
      </c>
      <c r="D586" t="s">
        <v>2453</v>
      </c>
      <c r="E586" t="s">
        <v>1363</v>
      </c>
      <c r="F586" t="s">
        <v>2454</v>
      </c>
      <c r="G586" t="s">
        <v>2455</v>
      </c>
      <c r="H586" t="str">
        <f>"01443 223265"</f>
        <v>01443 223265</v>
      </c>
    </row>
    <row r="587" spans="1:8">
      <c r="A587" t="s">
        <v>2450</v>
      </c>
      <c r="B587" t="s">
        <v>2458</v>
      </c>
      <c r="D587" t="s">
        <v>2457</v>
      </c>
      <c r="E587" t="s">
        <v>1363</v>
      </c>
      <c r="F587" t="s">
        <v>2459</v>
      </c>
      <c r="G587" t="s">
        <v>2460</v>
      </c>
      <c r="H587" t="str">
        <f>"01443486666"</f>
        <v>01443486666</v>
      </c>
    </row>
    <row r="588" spans="1:8">
      <c r="A588" t="s">
        <v>2450</v>
      </c>
      <c r="B588" t="s">
        <v>2461</v>
      </c>
      <c r="C588" t="s">
        <v>2462</v>
      </c>
      <c r="D588" t="s">
        <v>2463</v>
      </c>
      <c r="E588" t="s">
        <v>1054</v>
      </c>
      <c r="F588" t="s">
        <v>2464</v>
      </c>
      <c r="G588" t="s">
        <v>2465</v>
      </c>
      <c r="H588" t="str">
        <f>"01792455400"</f>
        <v>01792455400</v>
      </c>
    </row>
    <row r="589" spans="1:8">
      <c r="A589" t="s">
        <v>2466</v>
      </c>
      <c r="B589" t="s">
        <v>2467</v>
      </c>
      <c r="D589" t="s">
        <v>2468</v>
      </c>
      <c r="E589" t="s">
        <v>742</v>
      </c>
      <c r="F589" t="s">
        <v>2469</v>
      </c>
      <c r="G589" t="s">
        <v>2470</v>
      </c>
      <c r="H589" t="str">
        <f>"01493 855555"</f>
        <v>01493 855555</v>
      </c>
    </row>
    <row r="590" spans="1:8">
      <c r="A590" t="s">
        <v>2466</v>
      </c>
      <c r="B590" t="s">
        <v>2472</v>
      </c>
      <c r="C590" t="s">
        <v>2471</v>
      </c>
      <c r="D590" t="s">
        <v>2468</v>
      </c>
      <c r="E590" t="s">
        <v>742</v>
      </c>
      <c r="F590" t="s">
        <v>2473</v>
      </c>
      <c r="G590" t="s">
        <v>2474</v>
      </c>
      <c r="H590" t="str">
        <f>"01493 663124"</f>
        <v>01493 663124</v>
      </c>
    </row>
    <row r="591" spans="1:8">
      <c r="A591" t="s">
        <v>2466</v>
      </c>
      <c r="B591" t="s">
        <v>2475</v>
      </c>
      <c r="C591" t="s">
        <v>2476</v>
      </c>
      <c r="D591" t="s">
        <v>741</v>
      </c>
      <c r="F591" t="s">
        <v>2477</v>
      </c>
      <c r="G591" t="s">
        <v>2478</v>
      </c>
      <c r="H591" t="str">
        <f>"01603 542254"</f>
        <v>01603 542254</v>
      </c>
    </row>
    <row r="592" spans="1:8">
      <c r="A592" t="s">
        <v>2479</v>
      </c>
      <c r="B592" t="s">
        <v>2480</v>
      </c>
      <c r="D592" t="s">
        <v>2018</v>
      </c>
      <c r="E592" t="s">
        <v>132</v>
      </c>
      <c r="F592" t="s">
        <v>2481</v>
      </c>
      <c r="G592" t="s">
        <v>2482</v>
      </c>
      <c r="H592" t="str">
        <f>"01524 386500"</f>
        <v>01524 386500</v>
      </c>
    </row>
    <row r="593" spans="1:8">
      <c r="A593" t="s">
        <v>2479</v>
      </c>
      <c r="B593" t="s">
        <v>2483</v>
      </c>
      <c r="D593" t="s">
        <v>420</v>
      </c>
      <c r="E593" t="s">
        <v>132</v>
      </c>
      <c r="F593" t="s">
        <v>2484</v>
      </c>
      <c r="G593" t="s">
        <v>2482</v>
      </c>
      <c r="H593" t="str">
        <f>"01772 253841"</f>
        <v>01772 253841</v>
      </c>
    </row>
    <row r="594" spans="1:8">
      <c r="A594" t="s">
        <v>2485</v>
      </c>
      <c r="B594" t="s">
        <v>2486</v>
      </c>
      <c r="C594" t="s">
        <v>2487</v>
      </c>
      <c r="D594" t="s">
        <v>2488</v>
      </c>
      <c r="E594" t="s">
        <v>184</v>
      </c>
      <c r="F594" t="s">
        <v>2489</v>
      </c>
      <c r="G594" t="s">
        <v>2490</v>
      </c>
      <c r="H594" t="str">
        <f>"01923 713 020"</f>
        <v>01923 713 020</v>
      </c>
    </row>
    <row r="595" spans="1:8">
      <c r="A595" t="s">
        <v>2491</v>
      </c>
      <c r="B595" t="s">
        <v>2492</v>
      </c>
      <c r="C595" t="s">
        <v>2493</v>
      </c>
      <c r="D595" t="s">
        <v>2494</v>
      </c>
      <c r="E595" t="s">
        <v>132</v>
      </c>
      <c r="F595" t="s">
        <v>2495</v>
      </c>
      <c r="G595" t="s">
        <v>2496</v>
      </c>
      <c r="H595" t="str">
        <f>"01706 398398"</f>
        <v>01706 398398</v>
      </c>
    </row>
    <row r="596" spans="1:8">
      <c r="A596" t="s">
        <v>2491</v>
      </c>
      <c r="B596" t="s">
        <v>2498</v>
      </c>
      <c r="D596" t="s">
        <v>2497</v>
      </c>
      <c r="E596" t="s">
        <v>132</v>
      </c>
      <c r="F596" t="s">
        <v>2499</v>
      </c>
      <c r="G596" t="s">
        <v>2500</v>
      </c>
      <c r="H596" t="str">
        <f>"01706 854167"</f>
        <v>01706 854167</v>
      </c>
    </row>
    <row r="597" spans="1:8">
      <c r="A597" t="s">
        <v>2501</v>
      </c>
      <c r="B597" t="s">
        <v>2502</v>
      </c>
      <c r="C597" t="s">
        <v>2503</v>
      </c>
      <c r="D597" t="s">
        <v>2504</v>
      </c>
      <c r="F597" t="s">
        <v>2505</v>
      </c>
      <c r="G597" t="s">
        <v>2506</v>
      </c>
      <c r="H597" t="str">
        <f>"01323 841481"</f>
        <v>01323 841481</v>
      </c>
    </row>
    <row r="598" spans="1:8">
      <c r="A598" t="s">
        <v>2501</v>
      </c>
      <c r="B598" t="s">
        <v>2507</v>
      </c>
      <c r="D598" t="s">
        <v>88</v>
      </c>
      <c r="F598" t="s">
        <v>2508</v>
      </c>
      <c r="G598" t="s">
        <v>2506</v>
      </c>
      <c r="H598" t="str">
        <f>"01323 727321"</f>
        <v>01323 727321</v>
      </c>
    </row>
    <row r="599" spans="1:8">
      <c r="A599" t="s">
        <v>2501</v>
      </c>
      <c r="B599" t="s">
        <v>2510</v>
      </c>
      <c r="D599" t="s">
        <v>2509</v>
      </c>
      <c r="F599" t="s">
        <v>2511</v>
      </c>
      <c r="G599" t="s">
        <v>2506</v>
      </c>
      <c r="H599" t="str">
        <f>"01323487051"</f>
        <v>01323487051</v>
      </c>
    </row>
    <row r="600" spans="1:8">
      <c r="A600" t="s">
        <v>2512</v>
      </c>
      <c r="B600" t="s">
        <v>2513</v>
      </c>
      <c r="C600" t="s">
        <v>2514</v>
      </c>
      <c r="D600" t="s">
        <v>403</v>
      </c>
      <c r="E600" t="s">
        <v>184</v>
      </c>
      <c r="F600" t="s">
        <v>2515</v>
      </c>
      <c r="G600" t="s">
        <v>2516</v>
      </c>
      <c r="H600" t="str">
        <f>"01727 833134"</f>
        <v>01727 833134</v>
      </c>
    </row>
    <row r="601" spans="1:8">
      <c r="A601" t="s">
        <v>2517</v>
      </c>
      <c r="B601" t="s">
        <v>2518</v>
      </c>
      <c r="C601" t="s">
        <v>2519</v>
      </c>
      <c r="D601" t="s">
        <v>1024</v>
      </c>
      <c r="F601" t="s">
        <v>2520</v>
      </c>
      <c r="G601" t="s">
        <v>2521</v>
      </c>
      <c r="H601" t="str">
        <f>"01246 555387"</f>
        <v>01246 555387</v>
      </c>
    </row>
    <row r="602" spans="1:8">
      <c r="A602" t="s">
        <v>2517</v>
      </c>
      <c r="B602" t="s">
        <v>2523</v>
      </c>
      <c r="C602" t="s">
        <v>2522</v>
      </c>
      <c r="D602" t="s">
        <v>1024</v>
      </c>
      <c r="F602" t="s">
        <v>2524</v>
      </c>
      <c r="G602" t="s">
        <v>2525</v>
      </c>
      <c r="H602" t="str">
        <f>"01142493222"</f>
        <v>01142493222</v>
      </c>
    </row>
    <row r="603" spans="1:8">
      <c r="A603" t="s">
        <v>2526</v>
      </c>
      <c r="B603" t="s">
        <v>2527</v>
      </c>
      <c r="C603" t="s">
        <v>2528</v>
      </c>
      <c r="D603" t="s">
        <v>1411</v>
      </c>
      <c r="E603" t="s">
        <v>1412</v>
      </c>
      <c r="F603" t="s">
        <v>2529</v>
      </c>
      <c r="G603" t="s">
        <v>2530</v>
      </c>
      <c r="H603" t="str">
        <f>"01473 232300"</f>
        <v>01473 232300</v>
      </c>
    </row>
    <row r="604" spans="1:8">
      <c r="A604" t="s">
        <v>2526</v>
      </c>
      <c r="B604" t="s">
        <v>2531</v>
      </c>
      <c r="C604" t="s">
        <v>2532</v>
      </c>
      <c r="D604" t="s">
        <v>741</v>
      </c>
      <c r="E604" t="s">
        <v>742</v>
      </c>
      <c r="F604" t="s">
        <v>2533</v>
      </c>
      <c r="G604" t="s">
        <v>2530</v>
      </c>
      <c r="H604" t="str">
        <f>"01603 242300"</f>
        <v>01603 242300</v>
      </c>
    </row>
    <row r="605" spans="1:8">
      <c r="A605" t="s">
        <v>2526</v>
      </c>
      <c r="B605" t="s">
        <v>2534</v>
      </c>
      <c r="D605" t="s">
        <v>379</v>
      </c>
      <c r="E605" t="s">
        <v>369</v>
      </c>
      <c r="F605" t="s">
        <v>2392</v>
      </c>
      <c r="G605" t="s">
        <v>2530</v>
      </c>
      <c r="H605" t="str">
        <f>"01223 326600"</f>
        <v>01223 326600</v>
      </c>
    </row>
    <row r="606" spans="1:8">
      <c r="A606" t="s">
        <v>2526</v>
      </c>
      <c r="B606" t="s">
        <v>2535</v>
      </c>
      <c r="C606" t="s">
        <v>2536</v>
      </c>
      <c r="D606" t="s">
        <v>1443</v>
      </c>
      <c r="E606" t="s">
        <v>2055</v>
      </c>
      <c r="F606" t="s">
        <v>2537</v>
      </c>
      <c r="G606" t="s">
        <v>2530</v>
      </c>
      <c r="H606" t="str">
        <f>"01245 211211"</f>
        <v>01245 211211</v>
      </c>
    </row>
    <row r="607" spans="1:8">
      <c r="A607" t="s">
        <v>2526</v>
      </c>
      <c r="B607" t="s">
        <v>2538</v>
      </c>
      <c r="D607" t="s">
        <v>57</v>
      </c>
      <c r="F607" t="s">
        <v>2539</v>
      </c>
      <c r="G607" t="s">
        <v>2530</v>
      </c>
      <c r="H607" t="str">
        <f>"02035534888"</f>
        <v>02035534888</v>
      </c>
    </row>
    <row r="608" spans="1:8">
      <c r="A608" t="s">
        <v>2526</v>
      </c>
      <c r="B608" t="s">
        <v>2541</v>
      </c>
      <c r="D608" t="s">
        <v>2540</v>
      </c>
      <c r="F608" t="s">
        <v>2542</v>
      </c>
      <c r="G608" t="s">
        <v>2530</v>
      </c>
      <c r="H608" t="str">
        <f>"02087687000"</f>
        <v>02087687000</v>
      </c>
    </row>
    <row r="609" spans="1:8">
      <c r="A609" t="s">
        <v>2526</v>
      </c>
      <c r="B609" t="s">
        <v>2543</v>
      </c>
      <c r="D609" t="s">
        <v>61</v>
      </c>
      <c r="F609" t="s">
        <v>2544</v>
      </c>
      <c r="G609" t="s">
        <v>2530</v>
      </c>
      <c r="H609" t="str">
        <f>"0117331700"</f>
        <v>0117331700</v>
      </c>
    </row>
    <row r="610" spans="1:8">
      <c r="A610" t="s">
        <v>2545</v>
      </c>
      <c r="B610" t="s">
        <v>2546</v>
      </c>
      <c r="C610" t="s">
        <v>2547</v>
      </c>
      <c r="D610" t="s">
        <v>2548</v>
      </c>
      <c r="E610" t="s">
        <v>1033</v>
      </c>
      <c r="F610" t="s">
        <v>2549</v>
      </c>
      <c r="G610" t="s">
        <v>2550</v>
      </c>
      <c r="H610" t="str">
        <f>"01335 346772"</f>
        <v>01335 346772</v>
      </c>
    </row>
    <row r="611" spans="1:8">
      <c r="A611" t="s">
        <v>2545</v>
      </c>
      <c r="B611" t="s">
        <v>2551</v>
      </c>
      <c r="D611" t="s">
        <v>2552</v>
      </c>
      <c r="E611" t="s">
        <v>236</v>
      </c>
      <c r="F611" t="s">
        <v>2553</v>
      </c>
      <c r="G611" t="s">
        <v>2554</v>
      </c>
      <c r="H611" t="str">
        <f>"01889 567719"</f>
        <v>01889 567719</v>
      </c>
    </row>
    <row r="612" spans="1:8">
      <c r="A612" t="s">
        <v>2555</v>
      </c>
      <c r="B612" t="s">
        <v>2556</v>
      </c>
      <c r="D612" t="s">
        <v>57</v>
      </c>
      <c r="F612" t="s">
        <v>2557</v>
      </c>
      <c r="G612" t="s">
        <v>2558</v>
      </c>
      <c r="H612" t="str">
        <f>"020 7395 3000"</f>
        <v>020 7395 3000</v>
      </c>
    </row>
    <row r="613" spans="1:8">
      <c r="A613" t="s">
        <v>2559</v>
      </c>
      <c r="B613" t="s">
        <v>2560</v>
      </c>
      <c r="D613" t="s">
        <v>2561</v>
      </c>
      <c r="E613" t="s">
        <v>200</v>
      </c>
      <c r="F613" t="s">
        <v>2562</v>
      </c>
      <c r="G613" t="s">
        <v>2563</v>
      </c>
      <c r="H613" t="str">
        <f>"01883 347823"</f>
        <v>01883 347823</v>
      </c>
    </row>
    <row r="614" spans="1:8">
      <c r="A614" t="s">
        <v>2559</v>
      </c>
      <c r="B614" t="s">
        <v>2564</v>
      </c>
      <c r="D614" t="s">
        <v>2324</v>
      </c>
      <c r="E614" t="s">
        <v>57</v>
      </c>
      <c r="F614" t="s">
        <v>2565</v>
      </c>
      <c r="G614" t="s">
        <v>2563</v>
      </c>
      <c r="H614" t="str">
        <f>"0188 3347823 "</f>
        <v xml:space="preserve">0188 3347823 </v>
      </c>
    </row>
    <row r="615" spans="1:8">
      <c r="A615" t="s">
        <v>2566</v>
      </c>
      <c r="B615" t="s">
        <v>2567</v>
      </c>
      <c r="D615" t="s">
        <v>913</v>
      </c>
      <c r="E615" t="s">
        <v>184</v>
      </c>
      <c r="F615" t="s">
        <v>2568</v>
      </c>
      <c r="G615" t="s">
        <v>2569</v>
      </c>
      <c r="H615" t="str">
        <f>"01707887700"</f>
        <v>01707887700</v>
      </c>
    </row>
    <row r="616" spans="1:8">
      <c r="A616" t="s">
        <v>2566</v>
      </c>
      <c r="B616" t="s">
        <v>2571</v>
      </c>
      <c r="D616" t="s">
        <v>2570</v>
      </c>
      <c r="E616" t="s">
        <v>184</v>
      </c>
      <c r="F616" t="s">
        <v>2572</v>
      </c>
      <c r="G616" t="s">
        <v>2569</v>
      </c>
      <c r="H616" t="str">
        <f>"01462 458711"</f>
        <v>01462 458711</v>
      </c>
    </row>
    <row r="617" spans="1:8">
      <c r="A617" t="s">
        <v>2573</v>
      </c>
      <c r="B617" t="s">
        <v>2574</v>
      </c>
      <c r="C617" t="s">
        <v>2575</v>
      </c>
      <c r="D617" t="s">
        <v>892</v>
      </c>
      <c r="E617" t="s">
        <v>893</v>
      </c>
      <c r="F617" t="s">
        <v>2576</v>
      </c>
      <c r="G617" t="s">
        <v>2577</v>
      </c>
      <c r="H617" t="str">
        <f>"01512368871"</f>
        <v>01512368871</v>
      </c>
    </row>
    <row r="618" spans="1:8">
      <c r="A618" t="s">
        <v>2573</v>
      </c>
      <c r="B618" t="s">
        <v>2579</v>
      </c>
      <c r="C618" t="s">
        <v>2578</v>
      </c>
      <c r="D618" t="s">
        <v>892</v>
      </c>
      <c r="E618" t="s">
        <v>893</v>
      </c>
      <c r="F618" t="s">
        <v>2580</v>
      </c>
      <c r="G618" t="s">
        <v>2581</v>
      </c>
      <c r="H618" t="str">
        <f>"0151 428 1911"</f>
        <v>0151 428 1911</v>
      </c>
    </row>
    <row r="619" spans="1:8">
      <c r="A619" t="s">
        <v>2573</v>
      </c>
      <c r="B619" t="s">
        <v>2583</v>
      </c>
      <c r="D619" t="s">
        <v>892</v>
      </c>
      <c r="E619" t="s">
        <v>893</v>
      </c>
      <c r="F619" t="s">
        <v>2584</v>
      </c>
      <c r="G619" t="s">
        <v>2585</v>
      </c>
      <c r="H619" t="str">
        <f>"0151 909 2191"</f>
        <v>0151 909 2191</v>
      </c>
    </row>
    <row r="620" spans="1:8">
      <c r="A620" t="s">
        <v>2573</v>
      </c>
      <c r="B620" t="s">
        <v>2587</v>
      </c>
      <c r="C620" t="s">
        <v>2588</v>
      </c>
      <c r="D620" t="s">
        <v>892</v>
      </c>
      <c r="E620" t="s">
        <v>2589</v>
      </c>
      <c r="F620" t="s">
        <v>2590</v>
      </c>
      <c r="G620" t="s">
        <v>2577</v>
      </c>
      <c r="H620" t="str">
        <f>"0151 924 9234"</f>
        <v>0151 924 9234</v>
      </c>
    </row>
    <row r="621" spans="1:8">
      <c r="A621" t="s">
        <v>2573</v>
      </c>
      <c r="B621" t="s">
        <v>2591</v>
      </c>
      <c r="D621" t="s">
        <v>2592</v>
      </c>
      <c r="E621" t="s">
        <v>893</v>
      </c>
      <c r="F621" t="s">
        <v>2593</v>
      </c>
      <c r="G621" t="s">
        <v>2577</v>
      </c>
      <c r="H621" t="str">
        <f>"0151 236 8871"</f>
        <v>0151 236 8871</v>
      </c>
    </row>
    <row r="622" spans="1:8">
      <c r="A622" t="s">
        <v>2573</v>
      </c>
      <c r="B622" t="s">
        <v>2595</v>
      </c>
      <c r="D622" t="s">
        <v>2594</v>
      </c>
      <c r="E622" t="s">
        <v>893</v>
      </c>
      <c r="F622" t="s">
        <v>2596</v>
      </c>
      <c r="G622" t="s">
        <v>2597</v>
      </c>
      <c r="H622" t="str">
        <f>"01513191088"</f>
        <v>01513191088</v>
      </c>
    </row>
    <row r="623" spans="1:8">
      <c r="A623" t="s">
        <v>2598</v>
      </c>
      <c r="B623" t="s">
        <v>2599</v>
      </c>
      <c r="D623" t="s">
        <v>874</v>
      </c>
      <c r="E623" t="s">
        <v>200</v>
      </c>
      <c r="F623" t="s">
        <v>2600</v>
      </c>
      <c r="G623" t="s">
        <v>2601</v>
      </c>
      <c r="H623" t="str">
        <f>"02036021016"</f>
        <v>02036021016</v>
      </c>
    </row>
    <row r="624" spans="1:8">
      <c r="A624" t="s">
        <v>2598</v>
      </c>
      <c r="B624" t="s">
        <v>2603</v>
      </c>
      <c r="D624" t="s">
        <v>2602</v>
      </c>
      <c r="F624" t="s">
        <v>2604</v>
      </c>
      <c r="G624" t="s">
        <v>2601</v>
      </c>
      <c r="H624" t="str">
        <f>"0203 602 1016 "</f>
        <v xml:space="preserve">0203 602 1016 </v>
      </c>
    </row>
    <row r="625" spans="1:8">
      <c r="A625" t="s">
        <v>2605</v>
      </c>
      <c r="B625" t="s">
        <v>2606</v>
      </c>
      <c r="C625" t="s">
        <v>2607</v>
      </c>
      <c r="D625" t="s">
        <v>2608</v>
      </c>
      <c r="E625" t="s">
        <v>2609</v>
      </c>
      <c r="F625" t="s">
        <v>2610</v>
      </c>
      <c r="G625" t="s">
        <v>2611</v>
      </c>
      <c r="H625" t="str">
        <f>"01438 312525"</f>
        <v>01438 312525</v>
      </c>
    </row>
    <row r="626" spans="1:8">
      <c r="A626" t="s">
        <v>2605</v>
      </c>
      <c r="B626" t="s">
        <v>2612</v>
      </c>
      <c r="D626" t="s">
        <v>2613</v>
      </c>
      <c r="E626" t="s">
        <v>184</v>
      </c>
      <c r="F626" t="s">
        <v>2614</v>
      </c>
      <c r="G626" t="s">
        <v>2615</v>
      </c>
      <c r="H626" t="str">
        <f>"01462 486654"</f>
        <v>01462 486654</v>
      </c>
    </row>
    <row r="627" spans="1:8">
      <c r="A627" t="s">
        <v>2616</v>
      </c>
      <c r="B627" t="s">
        <v>2617</v>
      </c>
      <c r="C627" t="s">
        <v>2618</v>
      </c>
      <c r="D627" t="s">
        <v>849</v>
      </c>
      <c r="E627" t="s">
        <v>121</v>
      </c>
      <c r="F627" t="s">
        <v>2619</v>
      </c>
      <c r="G627" t="s">
        <v>2620</v>
      </c>
      <c r="H627" t="str">
        <f>"01276 686222"</f>
        <v>01276 686222</v>
      </c>
    </row>
    <row r="628" spans="1:8">
      <c r="A628" t="s">
        <v>2621</v>
      </c>
      <c r="B628" t="s">
        <v>2622</v>
      </c>
      <c r="D628" t="s">
        <v>2623</v>
      </c>
      <c r="E628" t="s">
        <v>292</v>
      </c>
      <c r="F628" t="s">
        <v>2624</v>
      </c>
      <c r="G628" t="s">
        <v>2625</v>
      </c>
      <c r="H628" t="str">
        <f>"01775722261"</f>
        <v>01775722261</v>
      </c>
    </row>
    <row r="629" spans="1:8">
      <c r="A629" t="s">
        <v>2621</v>
      </c>
      <c r="B629" t="s">
        <v>2626</v>
      </c>
      <c r="C629" t="s">
        <v>2627</v>
      </c>
      <c r="D629" t="s">
        <v>226</v>
      </c>
      <c r="F629" t="s">
        <v>2628</v>
      </c>
      <c r="G629" t="s">
        <v>2625</v>
      </c>
      <c r="H629" t="str">
        <f>"01775 722261"</f>
        <v>01775 722261</v>
      </c>
    </row>
    <row r="630" spans="1:8">
      <c r="A630" t="s">
        <v>2629</v>
      </c>
      <c r="B630" t="s">
        <v>2630</v>
      </c>
      <c r="D630" t="s">
        <v>57</v>
      </c>
      <c r="F630" t="s">
        <v>2631</v>
      </c>
      <c r="G630" t="s">
        <v>2632</v>
      </c>
      <c r="H630" t="str">
        <f>"0207 836 9555"</f>
        <v>0207 836 9555</v>
      </c>
    </row>
    <row r="631" spans="1:8">
      <c r="A631" t="s">
        <v>2633</v>
      </c>
      <c r="B631" t="s">
        <v>2634</v>
      </c>
      <c r="C631" t="s">
        <v>2635</v>
      </c>
      <c r="D631" t="s">
        <v>2178</v>
      </c>
      <c r="E631" t="s">
        <v>340</v>
      </c>
      <c r="F631" t="s">
        <v>2636</v>
      </c>
      <c r="G631" t="s">
        <v>2637</v>
      </c>
      <c r="H631" t="str">
        <f>"0191 261 8878"</f>
        <v>0191 261 8878</v>
      </c>
    </row>
    <row r="632" spans="1:8">
      <c r="A632" t="s">
        <v>2638</v>
      </c>
      <c r="B632" t="s">
        <v>2639</v>
      </c>
      <c r="D632" t="s">
        <v>2640</v>
      </c>
      <c r="E632" t="s">
        <v>57</v>
      </c>
      <c r="F632" t="s">
        <v>2641</v>
      </c>
      <c r="G632" t="s">
        <v>2642</v>
      </c>
      <c r="H632" t="str">
        <f>"020 8340 0222"</f>
        <v>020 8340 0222</v>
      </c>
    </row>
    <row r="633" spans="1:8">
      <c r="A633" t="s">
        <v>2638</v>
      </c>
      <c r="B633" t="s">
        <v>2643</v>
      </c>
      <c r="D633" t="s">
        <v>57</v>
      </c>
      <c r="F633" t="s">
        <v>2644</v>
      </c>
      <c r="G633" t="s">
        <v>2645</v>
      </c>
      <c r="H633" t="str">
        <f>"02083400222"</f>
        <v>02083400222</v>
      </c>
    </row>
    <row r="634" spans="1:8">
      <c r="A634" t="s">
        <v>2646</v>
      </c>
      <c r="B634" t="s">
        <v>2647</v>
      </c>
      <c r="C634" t="s">
        <v>558</v>
      </c>
      <c r="D634" t="s">
        <v>549</v>
      </c>
      <c r="E634" t="s">
        <v>309</v>
      </c>
      <c r="F634" t="s">
        <v>551</v>
      </c>
      <c r="G634" t="s">
        <v>2648</v>
      </c>
      <c r="H634" t="str">
        <f>"01392 848926"</f>
        <v>01392 848926</v>
      </c>
    </row>
    <row r="635" spans="1:8">
      <c r="A635" t="s">
        <v>2646</v>
      </c>
      <c r="B635" t="s">
        <v>2650</v>
      </c>
      <c r="C635" t="s">
        <v>2651</v>
      </c>
      <c r="D635" t="s">
        <v>2649</v>
      </c>
      <c r="E635" t="s">
        <v>309</v>
      </c>
      <c r="F635" t="s">
        <v>2652</v>
      </c>
      <c r="G635" t="s">
        <v>2648</v>
      </c>
      <c r="H635" t="str">
        <f>"01404 43431"</f>
        <v>01404 43431</v>
      </c>
    </row>
    <row r="636" spans="1:8">
      <c r="A636" t="s">
        <v>2646</v>
      </c>
      <c r="B636" t="s">
        <v>2654</v>
      </c>
      <c r="C636" t="s">
        <v>2379</v>
      </c>
      <c r="D636" t="s">
        <v>2653</v>
      </c>
      <c r="E636" t="s">
        <v>309</v>
      </c>
      <c r="F636" t="s">
        <v>2655</v>
      </c>
      <c r="G636" t="s">
        <v>2648</v>
      </c>
      <c r="H636" t="str">
        <f>"01395 264384"</f>
        <v>01395 264384</v>
      </c>
    </row>
    <row r="637" spans="1:8">
      <c r="A637" t="s">
        <v>2646</v>
      </c>
      <c r="B637" t="s">
        <v>2656</v>
      </c>
      <c r="D637" t="s">
        <v>2380</v>
      </c>
      <c r="E637" t="s">
        <v>309</v>
      </c>
      <c r="F637" t="s">
        <v>2657</v>
      </c>
      <c r="G637" t="s">
        <v>2648</v>
      </c>
      <c r="H637" t="str">
        <f>"01395 577983"</f>
        <v>01395 577983</v>
      </c>
    </row>
    <row r="638" spans="1:8">
      <c r="A638" t="s">
        <v>2646</v>
      </c>
      <c r="B638" t="s">
        <v>2659</v>
      </c>
      <c r="D638" t="s">
        <v>2658</v>
      </c>
      <c r="E638" t="s">
        <v>309</v>
      </c>
      <c r="F638" t="s">
        <v>2660</v>
      </c>
      <c r="G638" t="s">
        <v>2648</v>
      </c>
      <c r="H638" t="str">
        <f>"01297 21105"</f>
        <v>01297 21105</v>
      </c>
    </row>
    <row r="639" spans="1:8">
      <c r="A639" t="s">
        <v>2646</v>
      </c>
      <c r="B639" t="s">
        <v>2661</v>
      </c>
      <c r="C639" t="s">
        <v>2662</v>
      </c>
      <c r="D639" t="s">
        <v>1135</v>
      </c>
      <c r="E639" t="s">
        <v>464</v>
      </c>
      <c r="F639" t="s">
        <v>2663</v>
      </c>
      <c r="G639" t="s">
        <v>2648</v>
      </c>
      <c r="H639" t="str">
        <f>"01823 337636"</f>
        <v>01823 337636</v>
      </c>
    </row>
    <row r="640" spans="1:8">
      <c r="A640" t="s">
        <v>2646</v>
      </c>
      <c r="B640" t="s">
        <v>2664</v>
      </c>
      <c r="D640" t="s">
        <v>1629</v>
      </c>
      <c r="F640" t="s">
        <v>2665</v>
      </c>
      <c r="G640" t="s">
        <v>2648</v>
      </c>
      <c r="H640" t="str">
        <f>"01404 43431"</f>
        <v>01404 43431</v>
      </c>
    </row>
    <row r="641" spans="1:8">
      <c r="A641" t="s">
        <v>2646</v>
      </c>
      <c r="B641" t="s">
        <v>2667</v>
      </c>
      <c r="C641" t="s">
        <v>2668</v>
      </c>
      <c r="D641" t="s">
        <v>2666</v>
      </c>
      <c r="F641" t="s">
        <v>2669</v>
      </c>
      <c r="G641" t="s">
        <v>2648</v>
      </c>
      <c r="H641" t="str">
        <f>"01884 211020 "</f>
        <v xml:space="preserve">01884 211020 </v>
      </c>
    </row>
    <row r="642" spans="1:8">
      <c r="A642" t="s">
        <v>2670</v>
      </c>
      <c r="B642" t="s">
        <v>2671</v>
      </c>
      <c r="C642" t="s">
        <v>2672</v>
      </c>
      <c r="D642" t="s">
        <v>536</v>
      </c>
      <c r="F642" t="s">
        <v>2673</v>
      </c>
      <c r="G642" t="s">
        <v>2674</v>
      </c>
      <c r="H642" t="str">
        <f>"01892502324"</f>
        <v>01892502324</v>
      </c>
    </row>
    <row r="643" spans="1:8">
      <c r="A643" t="s">
        <v>2670</v>
      </c>
      <c r="B643" t="s">
        <v>2675</v>
      </c>
      <c r="D643" t="s">
        <v>2676</v>
      </c>
      <c r="F643" t="s">
        <v>2677</v>
      </c>
      <c r="G643" t="s">
        <v>2678</v>
      </c>
      <c r="H643" t="str">
        <f>"01580 712 215"</f>
        <v>01580 712 215</v>
      </c>
    </row>
    <row r="644" spans="1:8">
      <c r="A644" t="s">
        <v>2670</v>
      </c>
      <c r="B644" t="s">
        <v>2679</v>
      </c>
      <c r="C644" t="s">
        <v>2680</v>
      </c>
      <c r="D644" t="s">
        <v>2681</v>
      </c>
      <c r="F644" t="s">
        <v>2682</v>
      </c>
      <c r="G644" t="s">
        <v>2674</v>
      </c>
      <c r="H644" t="str">
        <f>"01342 328000"</f>
        <v>01342 328000</v>
      </c>
    </row>
    <row r="645" spans="1:8">
      <c r="A645" t="s">
        <v>2683</v>
      </c>
      <c r="B645" t="s">
        <v>2684</v>
      </c>
      <c r="C645" t="s">
        <v>2685</v>
      </c>
      <c r="D645" t="s">
        <v>593</v>
      </c>
      <c r="E645" t="s">
        <v>200</v>
      </c>
      <c r="F645" t="s">
        <v>594</v>
      </c>
      <c r="G645" t="s">
        <v>2686</v>
      </c>
      <c r="H645" t="str">
        <f>"01737 851827"</f>
        <v>01737 851827</v>
      </c>
    </row>
    <row r="646" spans="1:8">
      <c r="A646" t="s">
        <v>2687</v>
      </c>
      <c r="B646" t="s">
        <v>2688</v>
      </c>
      <c r="D646" t="s">
        <v>536</v>
      </c>
      <c r="E646" t="s">
        <v>171</v>
      </c>
      <c r="F646" t="s">
        <v>2689</v>
      </c>
      <c r="G646" t="s">
        <v>2690</v>
      </c>
      <c r="H646" t="str">
        <f>"01892 526344"</f>
        <v>01892 526344</v>
      </c>
    </row>
    <row r="647" spans="1:8">
      <c r="A647" t="s">
        <v>2687</v>
      </c>
      <c r="B647" t="s">
        <v>2691</v>
      </c>
      <c r="D647" t="s">
        <v>2692</v>
      </c>
      <c r="E647" t="s">
        <v>171</v>
      </c>
      <c r="F647" t="s">
        <v>2693</v>
      </c>
      <c r="G647" t="s">
        <v>2690</v>
      </c>
      <c r="H647" t="str">
        <f>"01732 460565"</f>
        <v>01732 460565</v>
      </c>
    </row>
    <row r="648" spans="1:8">
      <c r="A648" t="s">
        <v>2687</v>
      </c>
      <c r="B648" t="s">
        <v>2694</v>
      </c>
      <c r="C648" t="s">
        <v>2695</v>
      </c>
      <c r="D648" t="s">
        <v>2696</v>
      </c>
      <c r="E648" t="s">
        <v>171</v>
      </c>
      <c r="F648" t="s">
        <v>2697</v>
      </c>
      <c r="G648" t="s">
        <v>2690</v>
      </c>
      <c r="H648" t="str">
        <f>"01892 833456"</f>
        <v>01892 833456</v>
      </c>
    </row>
    <row r="649" spans="1:8">
      <c r="A649" t="s">
        <v>2698</v>
      </c>
      <c r="B649" t="s">
        <v>2699</v>
      </c>
      <c r="D649" t="s">
        <v>57</v>
      </c>
      <c r="F649" t="s">
        <v>2700</v>
      </c>
      <c r="G649" t="s">
        <v>2701</v>
      </c>
      <c r="H649" t="str">
        <f>"020 8209 0166"</f>
        <v>020 8209 0166</v>
      </c>
    </row>
    <row r="650" spans="1:8">
      <c r="A650" t="s">
        <v>2698</v>
      </c>
      <c r="B650" t="s">
        <v>2703</v>
      </c>
      <c r="C650" t="s">
        <v>2582</v>
      </c>
      <c r="D650" t="s">
        <v>892</v>
      </c>
      <c r="F650" t="s">
        <v>2704</v>
      </c>
      <c r="G650" t="s">
        <v>2705</v>
      </c>
      <c r="H650" t="str">
        <f>"0151 733 3353"</f>
        <v>0151 733 3353</v>
      </c>
    </row>
    <row r="651" spans="1:8">
      <c r="A651" t="s">
        <v>2698</v>
      </c>
      <c r="B651" t="s">
        <v>2706</v>
      </c>
      <c r="D651" t="s">
        <v>892</v>
      </c>
      <c r="E651" t="s">
        <v>893</v>
      </c>
      <c r="F651" t="s">
        <v>2707</v>
      </c>
      <c r="G651" t="s">
        <v>2705</v>
      </c>
      <c r="H651" t="str">
        <f>"0151 236 5000"</f>
        <v>0151 236 5000</v>
      </c>
    </row>
    <row r="652" spans="1:8">
      <c r="A652" t="s">
        <v>2698</v>
      </c>
      <c r="B652" t="s">
        <v>2709</v>
      </c>
      <c r="C652" t="s">
        <v>2708</v>
      </c>
      <c r="D652" t="s">
        <v>2710</v>
      </c>
      <c r="F652" t="s">
        <v>2711</v>
      </c>
      <c r="G652" t="s">
        <v>2705</v>
      </c>
      <c r="H652" t="str">
        <f>"01516250000"</f>
        <v>01516250000</v>
      </c>
    </row>
    <row r="653" spans="1:8">
      <c r="A653" t="s">
        <v>2712</v>
      </c>
      <c r="B653" t="s">
        <v>2713</v>
      </c>
      <c r="D653" t="s">
        <v>339</v>
      </c>
      <c r="E653" t="s">
        <v>1458</v>
      </c>
      <c r="F653" t="s">
        <v>2714</v>
      </c>
      <c r="G653" t="s">
        <v>2715</v>
      </c>
      <c r="H653" t="str">
        <f>"01914560281"</f>
        <v>01914560281</v>
      </c>
    </row>
    <row r="654" spans="1:8">
      <c r="A654" t="s">
        <v>2716</v>
      </c>
      <c r="B654" t="s">
        <v>2717</v>
      </c>
      <c r="D654" t="s">
        <v>2220</v>
      </c>
      <c r="E654" t="s">
        <v>1319</v>
      </c>
      <c r="F654" t="s">
        <v>2718</v>
      </c>
      <c r="G654" t="s">
        <v>2719</v>
      </c>
      <c r="H654" t="str">
        <f>"01472311711"</f>
        <v>01472311711</v>
      </c>
    </row>
    <row r="655" spans="1:8">
      <c r="A655" t="s">
        <v>2716</v>
      </c>
      <c r="B655" t="s">
        <v>2720</v>
      </c>
      <c r="C655" t="s">
        <v>2721</v>
      </c>
      <c r="D655" t="s">
        <v>291</v>
      </c>
      <c r="F655" t="s">
        <v>2722</v>
      </c>
      <c r="G655" t="s">
        <v>2719</v>
      </c>
      <c r="H655" t="str">
        <f>"01522 518888"</f>
        <v>01522 518888</v>
      </c>
    </row>
    <row r="656" spans="1:8">
      <c r="A656" t="s">
        <v>2716</v>
      </c>
      <c r="B656" t="s">
        <v>2723</v>
      </c>
      <c r="D656" t="s">
        <v>2724</v>
      </c>
      <c r="F656" t="s">
        <v>2725</v>
      </c>
      <c r="G656" t="s">
        <v>2719</v>
      </c>
      <c r="H656" t="str">
        <f>"01507 605883"</f>
        <v>01507 605883</v>
      </c>
    </row>
    <row r="657" spans="1:8">
      <c r="A657" t="s">
        <v>2716</v>
      </c>
      <c r="B657" t="s">
        <v>2726</v>
      </c>
      <c r="D657" t="s">
        <v>2727</v>
      </c>
      <c r="F657" t="s">
        <v>2728</v>
      </c>
      <c r="G657" t="s">
        <v>2719</v>
      </c>
      <c r="H657" t="str">
        <f>"01673 843723"</f>
        <v>01673 843723</v>
      </c>
    </row>
    <row r="658" spans="1:8">
      <c r="A658" t="s">
        <v>2716</v>
      </c>
      <c r="B658" t="s">
        <v>2729</v>
      </c>
      <c r="D658" t="s">
        <v>1426</v>
      </c>
      <c r="F658" t="s">
        <v>2730</v>
      </c>
      <c r="G658" t="s">
        <v>2719</v>
      </c>
      <c r="H658" t="str">
        <f>"01482320620"</f>
        <v>01482320620</v>
      </c>
    </row>
    <row r="659" spans="1:8">
      <c r="A659" t="s">
        <v>2716</v>
      </c>
      <c r="B659" t="s">
        <v>2731</v>
      </c>
      <c r="C659" t="s">
        <v>2732</v>
      </c>
      <c r="D659" t="s">
        <v>1426</v>
      </c>
      <c r="F659" t="s">
        <v>2733</v>
      </c>
      <c r="G659" t="s">
        <v>2719</v>
      </c>
      <c r="H659" t="str">
        <f>"01482 320620"</f>
        <v>01482 320620</v>
      </c>
    </row>
    <row r="660" spans="1:8">
      <c r="A660" t="s">
        <v>2716</v>
      </c>
      <c r="B660" t="s">
        <v>2734</v>
      </c>
      <c r="D660" t="s">
        <v>1406</v>
      </c>
      <c r="F660" t="s">
        <v>2735</v>
      </c>
      <c r="G660" t="s">
        <v>2736</v>
      </c>
      <c r="H660" t="str">
        <f>"01652655101"</f>
        <v>01652655101</v>
      </c>
    </row>
    <row r="661" spans="1:8">
      <c r="A661" t="s">
        <v>2737</v>
      </c>
      <c r="B661" t="s">
        <v>2738</v>
      </c>
      <c r="D661" t="s">
        <v>2739</v>
      </c>
      <c r="E661" t="s">
        <v>410</v>
      </c>
      <c r="F661" t="s">
        <v>2740</v>
      </c>
      <c r="G661" t="s">
        <v>2741</v>
      </c>
      <c r="H661" t="str">
        <f>"01623 658556"</f>
        <v>01623 658556</v>
      </c>
    </row>
    <row r="662" spans="1:8">
      <c r="A662" t="s">
        <v>2737</v>
      </c>
      <c r="B662" t="s">
        <v>2742</v>
      </c>
      <c r="C662" t="s">
        <v>2743</v>
      </c>
      <c r="D662" t="s">
        <v>2739</v>
      </c>
      <c r="E662" t="s">
        <v>410</v>
      </c>
      <c r="F662" t="s">
        <v>2744</v>
      </c>
      <c r="G662" t="s">
        <v>2741</v>
      </c>
      <c r="H662" t="str">
        <f>"01623 740685"</f>
        <v>01623 740685</v>
      </c>
    </row>
    <row r="663" spans="1:8">
      <c r="A663" t="s">
        <v>2745</v>
      </c>
      <c r="B663" t="s">
        <v>2746</v>
      </c>
      <c r="D663" t="s">
        <v>2747</v>
      </c>
      <c r="E663" t="s">
        <v>280</v>
      </c>
      <c r="F663" t="s">
        <v>2748</v>
      </c>
      <c r="G663" t="s">
        <v>2749</v>
      </c>
      <c r="H663" t="str">
        <f>"01274 864002"</f>
        <v>01274 864002</v>
      </c>
    </row>
    <row r="664" spans="1:8">
      <c r="A664" t="s">
        <v>2745</v>
      </c>
      <c r="B664" t="s">
        <v>2750</v>
      </c>
      <c r="D664" t="s">
        <v>2751</v>
      </c>
      <c r="E664" t="s">
        <v>280</v>
      </c>
      <c r="F664" t="s">
        <v>2752</v>
      </c>
      <c r="G664" t="s">
        <v>2749</v>
      </c>
      <c r="H664" t="str">
        <f>"01484 714400"</f>
        <v>01484 714400</v>
      </c>
    </row>
    <row r="665" spans="1:8">
      <c r="A665" t="s">
        <v>2745</v>
      </c>
      <c r="B665" t="s">
        <v>2753</v>
      </c>
      <c r="D665" t="s">
        <v>781</v>
      </c>
      <c r="E665" t="s">
        <v>280</v>
      </c>
      <c r="F665" t="s">
        <v>2754</v>
      </c>
      <c r="G665" t="s">
        <v>2749</v>
      </c>
      <c r="H665" t="str">
        <f>"01924 443900"</f>
        <v>01924 443900</v>
      </c>
    </row>
    <row r="666" spans="1:8">
      <c r="A666" t="s">
        <v>2745</v>
      </c>
      <c r="B666" t="s">
        <v>2755</v>
      </c>
      <c r="D666" t="s">
        <v>2756</v>
      </c>
      <c r="E666" t="s">
        <v>280</v>
      </c>
      <c r="F666" t="s">
        <v>2757</v>
      </c>
      <c r="G666" t="s">
        <v>2749</v>
      </c>
      <c r="H666" t="str">
        <f>"01924 473065"</f>
        <v>01924 473065</v>
      </c>
    </row>
    <row r="667" spans="1:8">
      <c r="A667" t="s">
        <v>2745</v>
      </c>
      <c r="B667" t="s">
        <v>2758</v>
      </c>
      <c r="C667" t="s">
        <v>2759</v>
      </c>
      <c r="D667" t="s">
        <v>355</v>
      </c>
      <c r="E667" t="s">
        <v>280</v>
      </c>
      <c r="F667" t="s">
        <v>2760</v>
      </c>
      <c r="G667" t="s">
        <v>2749</v>
      </c>
      <c r="H667" t="str">
        <f>"0113 467 3430"</f>
        <v>0113 467 3430</v>
      </c>
    </row>
    <row r="668" spans="1:8">
      <c r="A668" t="s">
        <v>2745</v>
      </c>
      <c r="B668" t="s">
        <v>2761</v>
      </c>
      <c r="D668" t="s">
        <v>355</v>
      </c>
      <c r="E668" t="s">
        <v>280</v>
      </c>
      <c r="F668" t="s">
        <v>2762</v>
      </c>
      <c r="G668" t="s">
        <v>2749</v>
      </c>
      <c r="H668" t="str">
        <f>"0113 487 4020"</f>
        <v>0113 487 4020</v>
      </c>
    </row>
    <row r="669" spans="1:8">
      <c r="A669" t="s">
        <v>2763</v>
      </c>
      <c r="B669" t="s">
        <v>2764</v>
      </c>
      <c r="D669" t="s">
        <v>303</v>
      </c>
      <c r="E669" t="s">
        <v>1358</v>
      </c>
      <c r="F669" t="s">
        <v>2765</v>
      </c>
      <c r="G669" t="s">
        <v>2766</v>
      </c>
      <c r="H669" t="str">
        <f>"02920 487210"</f>
        <v>02920 487210</v>
      </c>
    </row>
    <row r="670" spans="1:8">
      <c r="A670" t="s">
        <v>2763</v>
      </c>
      <c r="B670" t="s">
        <v>2767</v>
      </c>
      <c r="D670" t="s">
        <v>57</v>
      </c>
      <c r="F670" t="s">
        <v>2768</v>
      </c>
      <c r="G670" t="s">
        <v>2766</v>
      </c>
      <c r="H670" t="str">
        <f>"02039633002"</f>
        <v>02039633002</v>
      </c>
    </row>
    <row r="671" spans="1:8">
      <c r="A671" t="s">
        <v>2769</v>
      </c>
      <c r="B671" t="s">
        <v>2770</v>
      </c>
      <c r="C671" t="s">
        <v>2771</v>
      </c>
      <c r="D671" t="s">
        <v>2772</v>
      </c>
      <c r="E671" t="s">
        <v>569</v>
      </c>
      <c r="F671" t="s">
        <v>2773</v>
      </c>
      <c r="G671" t="s">
        <v>2774</v>
      </c>
      <c r="H671" t="str">
        <f>"01254 272640"</f>
        <v>01254 272640</v>
      </c>
    </row>
    <row r="672" spans="1:8">
      <c r="A672" t="s">
        <v>2769</v>
      </c>
      <c r="B672" t="s">
        <v>2775</v>
      </c>
      <c r="C672" t="s">
        <v>2776</v>
      </c>
      <c r="D672" t="s">
        <v>2777</v>
      </c>
      <c r="E672" t="s">
        <v>132</v>
      </c>
      <c r="F672" t="s">
        <v>2778</v>
      </c>
      <c r="G672" t="s">
        <v>2774</v>
      </c>
      <c r="H672" t="str">
        <f>"01706213356"</f>
        <v>01706213356</v>
      </c>
    </row>
    <row r="673" spans="1:8">
      <c r="A673" t="s">
        <v>2769</v>
      </c>
      <c r="B673" t="s">
        <v>2779</v>
      </c>
      <c r="D673" t="s">
        <v>770</v>
      </c>
      <c r="E673" t="s">
        <v>132</v>
      </c>
      <c r="F673" t="s">
        <v>2780</v>
      </c>
      <c r="G673" t="s">
        <v>2774</v>
      </c>
      <c r="H673" t="str">
        <f>"0161 761 4611"</f>
        <v>0161 761 4611</v>
      </c>
    </row>
    <row r="674" spans="1:8">
      <c r="A674" t="s">
        <v>2769</v>
      </c>
      <c r="B674" t="s">
        <v>2781</v>
      </c>
      <c r="C674" t="s">
        <v>2782</v>
      </c>
      <c r="D674" t="s">
        <v>2777</v>
      </c>
      <c r="E674" t="s">
        <v>132</v>
      </c>
      <c r="F674" t="s">
        <v>2783</v>
      </c>
      <c r="G674" t="s">
        <v>2774</v>
      </c>
      <c r="H674" t="str">
        <f>"01706 225621"</f>
        <v>01706 225621</v>
      </c>
    </row>
    <row r="675" spans="1:8">
      <c r="A675" t="s">
        <v>2769</v>
      </c>
      <c r="B675" t="s">
        <v>2784</v>
      </c>
      <c r="D675" t="s">
        <v>2785</v>
      </c>
      <c r="E675" t="s">
        <v>132</v>
      </c>
      <c r="F675" t="s">
        <v>2786</v>
      </c>
      <c r="G675" t="s">
        <v>2774</v>
      </c>
      <c r="H675" t="str">
        <f>"01254 236221"</f>
        <v>01254 236221</v>
      </c>
    </row>
    <row r="676" spans="1:8">
      <c r="A676" t="s">
        <v>2769</v>
      </c>
      <c r="B676" t="s">
        <v>2787</v>
      </c>
      <c r="C676" t="s">
        <v>2788</v>
      </c>
      <c r="D676" t="s">
        <v>2772</v>
      </c>
      <c r="E676" t="s">
        <v>132</v>
      </c>
      <c r="F676" t="s">
        <v>2789</v>
      </c>
      <c r="G676" t="s">
        <v>2774</v>
      </c>
      <c r="H676" t="str">
        <f>"01254 884253"</f>
        <v>01254 884253</v>
      </c>
    </row>
    <row r="677" spans="1:8">
      <c r="A677" t="s">
        <v>2769</v>
      </c>
      <c r="B677" t="s">
        <v>2790</v>
      </c>
      <c r="D677" t="s">
        <v>2791</v>
      </c>
      <c r="E677" t="s">
        <v>132</v>
      </c>
      <c r="F677" t="s">
        <v>2792</v>
      </c>
      <c r="G677" t="s">
        <v>2774</v>
      </c>
      <c r="H677" t="str">
        <f>"01706 874487"</f>
        <v>01706 874487</v>
      </c>
    </row>
    <row r="678" spans="1:8">
      <c r="A678" t="s">
        <v>2769</v>
      </c>
      <c r="B678" t="s">
        <v>2793</v>
      </c>
      <c r="D678" t="s">
        <v>2794</v>
      </c>
      <c r="E678" t="s">
        <v>132</v>
      </c>
      <c r="F678" t="s">
        <v>2795</v>
      </c>
      <c r="G678" t="s">
        <v>2774</v>
      </c>
      <c r="H678" t="str">
        <f>"01200 408300"</f>
        <v>01200 408300</v>
      </c>
    </row>
    <row r="679" spans="1:8">
      <c r="A679" t="s">
        <v>2796</v>
      </c>
      <c r="B679" t="s">
        <v>2797</v>
      </c>
      <c r="C679" t="s">
        <v>2798</v>
      </c>
      <c r="D679" t="s">
        <v>70</v>
      </c>
      <c r="F679" t="s">
        <v>2799</v>
      </c>
      <c r="G679" t="s">
        <v>2800</v>
      </c>
      <c r="H679" t="str">
        <f>"01228 552222"</f>
        <v>01228 552222</v>
      </c>
    </row>
    <row r="680" spans="1:8">
      <c r="A680" t="s">
        <v>2796</v>
      </c>
      <c r="B680" t="s">
        <v>2801</v>
      </c>
      <c r="C680" t="s">
        <v>2802</v>
      </c>
      <c r="D680" t="s">
        <v>2803</v>
      </c>
      <c r="F680" t="s">
        <v>2804</v>
      </c>
      <c r="G680" t="s">
        <v>2805</v>
      </c>
      <c r="H680" t="str">
        <f>"01900 510366"</f>
        <v>01900 510366</v>
      </c>
    </row>
    <row r="681" spans="1:8">
      <c r="A681" t="s">
        <v>2806</v>
      </c>
      <c r="B681" t="s">
        <v>2807</v>
      </c>
      <c r="C681" t="s">
        <v>1525</v>
      </c>
      <c r="D681" t="s">
        <v>892</v>
      </c>
      <c r="E681" t="s">
        <v>893</v>
      </c>
      <c r="F681" t="s">
        <v>1526</v>
      </c>
      <c r="G681" t="s">
        <v>2808</v>
      </c>
      <c r="H681" t="str">
        <f>"0151 282 1700"</f>
        <v>0151 282 1700</v>
      </c>
    </row>
    <row r="682" spans="1:8">
      <c r="A682" t="s">
        <v>2806</v>
      </c>
      <c r="B682" t="s">
        <v>2810</v>
      </c>
      <c r="C682" t="s">
        <v>2809</v>
      </c>
      <c r="D682" t="s">
        <v>2710</v>
      </c>
      <c r="E682" t="s">
        <v>893</v>
      </c>
      <c r="F682" t="s">
        <v>2811</v>
      </c>
      <c r="G682" t="s">
        <v>2808</v>
      </c>
      <c r="H682" t="str">
        <f>"0151 342 6273"</f>
        <v>0151 342 6273</v>
      </c>
    </row>
    <row r="683" spans="1:8">
      <c r="A683" t="s">
        <v>2806</v>
      </c>
      <c r="B683" t="s">
        <v>2813</v>
      </c>
      <c r="C683" t="s">
        <v>2812</v>
      </c>
      <c r="D683" t="s">
        <v>2710</v>
      </c>
      <c r="E683" t="s">
        <v>893</v>
      </c>
      <c r="F683" t="s">
        <v>2814</v>
      </c>
      <c r="G683" t="s">
        <v>2808</v>
      </c>
      <c r="H683" t="str">
        <f>"0151 625 9364"</f>
        <v>0151 625 9364</v>
      </c>
    </row>
    <row r="684" spans="1:8">
      <c r="A684" t="s">
        <v>2806</v>
      </c>
      <c r="B684" t="s">
        <v>2815</v>
      </c>
      <c r="D684" t="s">
        <v>2816</v>
      </c>
      <c r="F684" t="s">
        <v>2817</v>
      </c>
      <c r="G684" t="s">
        <v>2808</v>
      </c>
      <c r="H684" t="str">
        <f>"01704 324444"</f>
        <v>01704 324444</v>
      </c>
    </row>
    <row r="685" spans="1:8">
      <c r="A685" t="s">
        <v>2818</v>
      </c>
      <c r="B685" t="s">
        <v>2819</v>
      </c>
      <c r="D685" t="s">
        <v>2005</v>
      </c>
      <c r="F685" t="s">
        <v>2820</v>
      </c>
      <c r="G685" t="s">
        <v>2821</v>
      </c>
      <c r="H685" t="str">
        <f>"0208 422 5678"</f>
        <v>0208 422 5678</v>
      </c>
    </row>
    <row r="686" spans="1:8">
      <c r="A686" t="s">
        <v>2818</v>
      </c>
      <c r="B686" t="s">
        <v>2822</v>
      </c>
      <c r="D686" t="s">
        <v>57</v>
      </c>
      <c r="F686" t="s">
        <v>2823</v>
      </c>
      <c r="G686" t="s">
        <v>2824</v>
      </c>
      <c r="H686" t="str">
        <f>"020 7224 0888"</f>
        <v>020 7224 0888</v>
      </c>
    </row>
    <row r="687" spans="1:8">
      <c r="A687" t="s">
        <v>2825</v>
      </c>
      <c r="B687" t="s">
        <v>2826</v>
      </c>
      <c r="D687" t="s">
        <v>57</v>
      </c>
      <c r="F687" t="s">
        <v>2827</v>
      </c>
      <c r="G687" t="s">
        <v>2828</v>
      </c>
      <c r="H687" t="str">
        <f>"0207 863 8418"</f>
        <v>0207 863 8418</v>
      </c>
    </row>
    <row r="688" spans="1:8">
      <c r="A688" t="s">
        <v>2829</v>
      </c>
      <c r="B688" t="s">
        <v>2830</v>
      </c>
      <c r="D688" t="s">
        <v>2831</v>
      </c>
      <c r="E688" t="s">
        <v>736</v>
      </c>
      <c r="F688" t="s">
        <v>2832</v>
      </c>
      <c r="G688" t="s">
        <v>2833</v>
      </c>
      <c r="H688" t="str">
        <f>"01255 676198"</f>
        <v>01255 676198</v>
      </c>
    </row>
    <row r="689" spans="1:8">
      <c r="A689" t="s">
        <v>2834</v>
      </c>
      <c r="B689" t="s">
        <v>2835</v>
      </c>
      <c r="D689" t="s">
        <v>2836</v>
      </c>
      <c r="E689" t="s">
        <v>200</v>
      </c>
      <c r="F689" t="s">
        <v>2837</v>
      </c>
      <c r="G689" t="s">
        <v>2838</v>
      </c>
      <c r="H689" t="str">
        <f>"0208 979 1131"</f>
        <v>0208 979 1131</v>
      </c>
    </row>
    <row r="690" spans="1:8">
      <c r="A690" t="s">
        <v>2839</v>
      </c>
      <c r="B690" t="s">
        <v>2840</v>
      </c>
      <c r="D690" t="s">
        <v>1417</v>
      </c>
      <c r="E690" t="s">
        <v>736</v>
      </c>
      <c r="F690" t="s">
        <v>2841</v>
      </c>
      <c r="G690" t="s">
        <v>2842</v>
      </c>
      <c r="H690" t="str">
        <f>"01708 744211"</f>
        <v>01708 744211</v>
      </c>
    </row>
    <row r="691" spans="1:8">
      <c r="A691" t="s">
        <v>2843</v>
      </c>
      <c r="B691" t="s">
        <v>2844</v>
      </c>
      <c r="D691" t="s">
        <v>2816</v>
      </c>
      <c r="E691" t="s">
        <v>893</v>
      </c>
      <c r="F691" t="s">
        <v>2845</v>
      </c>
      <c r="G691" t="s">
        <v>2846</v>
      </c>
      <c r="H691" t="str">
        <f>"01704 535216"</f>
        <v>01704 535216</v>
      </c>
    </row>
    <row r="692" spans="1:8">
      <c r="A692" t="s">
        <v>2847</v>
      </c>
      <c r="B692" t="s">
        <v>2848</v>
      </c>
      <c r="C692" t="s">
        <v>2849</v>
      </c>
      <c r="D692" t="s">
        <v>493</v>
      </c>
      <c r="E692" t="s">
        <v>315</v>
      </c>
      <c r="F692" t="s">
        <v>2850</v>
      </c>
      <c r="G692" t="s">
        <v>2851</v>
      </c>
      <c r="H692" t="str">
        <f>"0161 485 8131"</f>
        <v>0161 485 8131</v>
      </c>
    </row>
    <row r="693" spans="1:8">
      <c r="A693" t="s">
        <v>2852</v>
      </c>
      <c r="B693" t="s">
        <v>2853</v>
      </c>
      <c r="D693" t="s">
        <v>674</v>
      </c>
      <c r="E693" t="s">
        <v>280</v>
      </c>
      <c r="F693" t="s">
        <v>1338</v>
      </c>
      <c r="G693" t="s">
        <v>2854</v>
      </c>
      <c r="H693" t="str">
        <f>"0333 987 5500"</f>
        <v>0333 987 5500</v>
      </c>
    </row>
    <row r="694" spans="1:8">
      <c r="A694" t="s">
        <v>2852</v>
      </c>
      <c r="B694" t="s">
        <v>2855</v>
      </c>
      <c r="C694" t="s">
        <v>2856</v>
      </c>
      <c r="D694" t="s">
        <v>355</v>
      </c>
      <c r="E694" t="s">
        <v>280</v>
      </c>
      <c r="F694" t="s">
        <v>2857</v>
      </c>
      <c r="G694" t="s">
        <v>2858</v>
      </c>
      <c r="H694" t="str">
        <f>"0333 987 5500"</f>
        <v>0333 987 5500</v>
      </c>
    </row>
    <row r="695" spans="1:8">
      <c r="A695" t="s">
        <v>2859</v>
      </c>
      <c r="B695" t="s">
        <v>2860</v>
      </c>
      <c r="D695" t="s">
        <v>2861</v>
      </c>
      <c r="E695" t="s">
        <v>1200</v>
      </c>
      <c r="F695" t="s">
        <v>2862</v>
      </c>
      <c r="G695" t="s">
        <v>2863</v>
      </c>
      <c r="H695" t="str">
        <f>"01926 478002"</f>
        <v>01926 478002</v>
      </c>
    </row>
    <row r="696" spans="1:8">
      <c r="A696" t="s">
        <v>2864</v>
      </c>
      <c r="B696" t="s">
        <v>2865</v>
      </c>
      <c r="C696" t="s">
        <v>2866</v>
      </c>
      <c r="D696" t="s">
        <v>2867</v>
      </c>
      <c r="E696" t="s">
        <v>2868</v>
      </c>
      <c r="F696" t="s">
        <v>2869</v>
      </c>
      <c r="G696" t="s">
        <v>2870</v>
      </c>
      <c r="H696" t="str">
        <f>"01488 683555"</f>
        <v>01488 683555</v>
      </c>
    </row>
    <row r="697" spans="1:8">
      <c r="A697" t="s">
        <v>2871</v>
      </c>
      <c r="B697" t="s">
        <v>2872</v>
      </c>
      <c r="C697" t="s">
        <v>2873</v>
      </c>
      <c r="D697" t="s">
        <v>403</v>
      </c>
      <c r="E697" t="s">
        <v>184</v>
      </c>
      <c r="F697" t="s">
        <v>2874</v>
      </c>
      <c r="G697" t="s">
        <v>2875</v>
      </c>
      <c r="H697" t="str">
        <f>"01727 735602"</f>
        <v>01727 735602</v>
      </c>
    </row>
    <row r="698" spans="1:8">
      <c r="A698" t="s">
        <v>2871</v>
      </c>
      <c r="B698" t="s">
        <v>2876</v>
      </c>
      <c r="C698" t="s">
        <v>2877</v>
      </c>
      <c r="D698" t="s">
        <v>2878</v>
      </c>
      <c r="E698" t="s">
        <v>184</v>
      </c>
      <c r="F698" t="s">
        <v>2879</v>
      </c>
      <c r="G698" t="s">
        <v>2875</v>
      </c>
      <c r="H698" t="str">
        <f>"01923 857171"</f>
        <v>01923 857171</v>
      </c>
    </row>
    <row r="699" spans="1:8">
      <c r="A699" t="s">
        <v>2880</v>
      </c>
      <c r="B699" t="s">
        <v>2881</v>
      </c>
      <c r="D699" t="s">
        <v>2882</v>
      </c>
      <c r="E699" t="s">
        <v>520</v>
      </c>
      <c r="F699" t="s">
        <v>2883</v>
      </c>
      <c r="G699" t="s">
        <v>2884</v>
      </c>
      <c r="H699" t="str">
        <f>"01424 464900"</f>
        <v>01424 464900</v>
      </c>
    </row>
    <row r="700" spans="1:8">
      <c r="A700" t="s">
        <v>2885</v>
      </c>
      <c r="B700" t="s">
        <v>2886</v>
      </c>
      <c r="D700" t="s">
        <v>549</v>
      </c>
      <c r="E700" t="s">
        <v>309</v>
      </c>
      <c r="F700" t="s">
        <v>2887</v>
      </c>
      <c r="G700" t="s">
        <v>2888</v>
      </c>
      <c r="H700" t="str">
        <f>"01392 424242"</f>
        <v>01392 424242</v>
      </c>
    </row>
    <row r="701" spans="1:8">
      <c r="A701" t="s">
        <v>2885</v>
      </c>
      <c r="B701" t="s">
        <v>2889</v>
      </c>
      <c r="D701" t="s">
        <v>2890</v>
      </c>
      <c r="F701" t="s">
        <v>2891</v>
      </c>
      <c r="G701" t="s">
        <v>2892</v>
      </c>
      <c r="H701" t="str">
        <f>"01404 812288"</f>
        <v>01404 812288</v>
      </c>
    </row>
    <row r="702" spans="1:8">
      <c r="A702" t="s">
        <v>2885</v>
      </c>
      <c r="B702" t="s">
        <v>2894</v>
      </c>
      <c r="D702" t="s">
        <v>2893</v>
      </c>
      <c r="E702" t="s">
        <v>309</v>
      </c>
      <c r="F702" t="s">
        <v>2895</v>
      </c>
      <c r="G702" t="s">
        <v>2888</v>
      </c>
      <c r="H702" t="str">
        <f>"01392 424242"</f>
        <v>01392 424242</v>
      </c>
    </row>
    <row r="703" spans="1:8">
      <c r="A703" t="s">
        <v>2885</v>
      </c>
      <c r="B703" t="s">
        <v>2896</v>
      </c>
      <c r="C703" t="s">
        <v>2897</v>
      </c>
      <c r="D703" t="s">
        <v>2898</v>
      </c>
      <c r="E703" t="s">
        <v>309</v>
      </c>
      <c r="F703" t="s">
        <v>2899</v>
      </c>
      <c r="G703" t="s">
        <v>2892</v>
      </c>
      <c r="H703" t="str">
        <f>"01363 775566  "</f>
        <v xml:space="preserve">01363 775566  </v>
      </c>
    </row>
    <row r="704" spans="1:8">
      <c r="A704" t="s">
        <v>2900</v>
      </c>
      <c r="B704" t="s">
        <v>2901</v>
      </c>
      <c r="C704" t="s">
        <v>2902</v>
      </c>
      <c r="D704" t="s">
        <v>57</v>
      </c>
      <c r="E704" t="s">
        <v>57</v>
      </c>
      <c r="F704" t="s">
        <v>2903</v>
      </c>
      <c r="G704" t="s">
        <v>2904</v>
      </c>
      <c r="H704" t="str">
        <f>"020 8445 9898"</f>
        <v>020 8445 9898</v>
      </c>
    </row>
    <row r="705" spans="1:8">
      <c r="A705" t="s">
        <v>2900</v>
      </c>
      <c r="B705" t="s">
        <v>2905</v>
      </c>
      <c r="C705" t="s">
        <v>2906</v>
      </c>
      <c r="D705" t="s">
        <v>57</v>
      </c>
      <c r="F705" t="s">
        <v>2907</v>
      </c>
      <c r="G705" t="s">
        <v>2904</v>
      </c>
      <c r="H705" t="str">
        <f>"020 7493 7888"</f>
        <v>020 7493 7888</v>
      </c>
    </row>
    <row r="706" spans="1:8">
      <c r="A706" t="s">
        <v>2908</v>
      </c>
      <c r="B706" t="s">
        <v>2909</v>
      </c>
      <c r="C706" t="s">
        <v>2910</v>
      </c>
      <c r="D706" t="s">
        <v>2911</v>
      </c>
      <c r="E706" t="s">
        <v>2006</v>
      </c>
      <c r="F706" t="s">
        <v>2912</v>
      </c>
      <c r="G706" t="s">
        <v>2913</v>
      </c>
      <c r="H706" t="str">
        <f>"020 88902836"</f>
        <v>020 88902836</v>
      </c>
    </row>
    <row r="707" spans="1:8">
      <c r="A707" t="s">
        <v>2908</v>
      </c>
      <c r="B707" t="s">
        <v>2914</v>
      </c>
      <c r="C707" t="s">
        <v>2915</v>
      </c>
      <c r="D707" t="s">
        <v>57</v>
      </c>
      <c r="F707" t="s">
        <v>2916</v>
      </c>
      <c r="G707" t="s">
        <v>2917</v>
      </c>
      <c r="H707" t="str">
        <f>"02089871400"</f>
        <v>02089871400</v>
      </c>
    </row>
    <row r="708" spans="1:8">
      <c r="A708" t="s">
        <v>2908</v>
      </c>
      <c r="B708" t="s">
        <v>2919</v>
      </c>
      <c r="D708" t="s">
        <v>2918</v>
      </c>
      <c r="E708" t="s">
        <v>2006</v>
      </c>
      <c r="F708" t="s">
        <v>2920</v>
      </c>
      <c r="G708" t="s">
        <v>2921</v>
      </c>
      <c r="H708" t="str">
        <f>"01932 220 451"</f>
        <v>01932 220 451</v>
      </c>
    </row>
    <row r="709" spans="1:8">
      <c r="A709" t="s">
        <v>2908</v>
      </c>
      <c r="B709" t="s">
        <v>2923</v>
      </c>
      <c r="D709" t="s">
        <v>2922</v>
      </c>
      <c r="E709" t="s">
        <v>200</v>
      </c>
      <c r="F709" t="s">
        <v>2924</v>
      </c>
      <c r="G709" t="s">
        <v>2925</v>
      </c>
      <c r="H709" t="str">
        <f>"01372469100"</f>
        <v>01372469100</v>
      </c>
    </row>
    <row r="710" spans="1:8">
      <c r="A710" t="s">
        <v>2926</v>
      </c>
      <c r="B710" t="s">
        <v>2927</v>
      </c>
      <c r="D710" t="s">
        <v>2928</v>
      </c>
      <c r="E710" t="s">
        <v>703</v>
      </c>
      <c r="F710" t="s">
        <v>2929</v>
      </c>
      <c r="G710" t="s">
        <v>2930</v>
      </c>
      <c r="H710" t="str">
        <f>"01722 412000"</f>
        <v>01722 412000</v>
      </c>
    </row>
    <row r="711" spans="1:8">
      <c r="A711" t="s">
        <v>2926</v>
      </c>
      <c r="B711" t="s">
        <v>2931</v>
      </c>
      <c r="D711" t="s">
        <v>1468</v>
      </c>
      <c r="E711" t="s">
        <v>121</v>
      </c>
      <c r="F711" t="s">
        <v>2932</v>
      </c>
      <c r="G711" t="s">
        <v>2930</v>
      </c>
      <c r="H711" t="str">
        <f>"01264 400500"</f>
        <v>01264 400500</v>
      </c>
    </row>
    <row r="712" spans="1:8">
      <c r="A712" t="s">
        <v>2926</v>
      </c>
      <c r="B712" t="s">
        <v>2933</v>
      </c>
      <c r="D712" t="s">
        <v>1530</v>
      </c>
      <c r="F712" t="s">
        <v>2934</v>
      </c>
      <c r="G712" t="s">
        <v>2930</v>
      </c>
      <c r="H712" t="str">
        <f>"01794 513466"</f>
        <v>01794 513466</v>
      </c>
    </row>
    <row r="713" spans="1:8">
      <c r="A713" t="s">
        <v>2926</v>
      </c>
      <c r="B713" t="s">
        <v>2935</v>
      </c>
      <c r="C713" t="s">
        <v>1539</v>
      </c>
      <c r="D713" t="s">
        <v>124</v>
      </c>
      <c r="F713" t="s">
        <v>2936</v>
      </c>
      <c r="G713" t="s">
        <v>2930</v>
      </c>
      <c r="H713" t="str">
        <f>"02380 663313"</f>
        <v>02380 663313</v>
      </c>
    </row>
    <row r="714" spans="1:8">
      <c r="A714" t="s">
        <v>2926</v>
      </c>
      <c r="B714" t="s">
        <v>2938</v>
      </c>
      <c r="C714" t="s">
        <v>2939</v>
      </c>
      <c r="D714" t="s">
        <v>2937</v>
      </c>
      <c r="F714" t="s">
        <v>2940</v>
      </c>
      <c r="G714" t="s">
        <v>2930</v>
      </c>
      <c r="H714" t="str">
        <f>"01993670944"</f>
        <v>01993670944</v>
      </c>
    </row>
    <row r="715" spans="1:8">
      <c r="A715" t="s">
        <v>2941</v>
      </c>
      <c r="B715" t="s">
        <v>2942</v>
      </c>
      <c r="C715" t="s">
        <v>2943</v>
      </c>
      <c r="D715" t="s">
        <v>741</v>
      </c>
      <c r="E715" t="s">
        <v>742</v>
      </c>
      <c r="F715" t="s">
        <v>2944</v>
      </c>
      <c r="G715" t="s">
        <v>2945</v>
      </c>
      <c r="H715" t="str">
        <f>"01603 621722"</f>
        <v>01603 621722</v>
      </c>
    </row>
    <row r="716" spans="1:8">
      <c r="A716" t="s">
        <v>2941</v>
      </c>
      <c r="B716" t="s">
        <v>2946</v>
      </c>
      <c r="D716" t="s">
        <v>57</v>
      </c>
      <c r="F716" t="s">
        <v>2947</v>
      </c>
      <c r="G716" t="s">
        <v>2945</v>
      </c>
      <c r="H716" t="str">
        <f>"0203 0112666"</f>
        <v>0203 0112666</v>
      </c>
    </row>
    <row r="717" spans="1:8">
      <c r="A717" t="s">
        <v>2941</v>
      </c>
      <c r="B717" t="s">
        <v>2948</v>
      </c>
      <c r="D717" t="s">
        <v>57</v>
      </c>
      <c r="F717" t="s">
        <v>2949</v>
      </c>
      <c r="G717" t="s">
        <v>2945</v>
      </c>
      <c r="H717" t="str">
        <f>"02030115222"</f>
        <v>02030115222</v>
      </c>
    </row>
    <row r="718" spans="1:8">
      <c r="A718" t="s">
        <v>2950</v>
      </c>
      <c r="B718" t="s">
        <v>2951</v>
      </c>
      <c r="D718" t="s">
        <v>158</v>
      </c>
      <c r="E718" t="s">
        <v>53</v>
      </c>
      <c r="F718" t="s">
        <v>2952</v>
      </c>
      <c r="G718" t="s">
        <v>2953</v>
      </c>
      <c r="H718" t="str">
        <f>"01242 574244"</f>
        <v>01242 574244</v>
      </c>
    </row>
    <row r="719" spans="1:8">
      <c r="A719" t="s">
        <v>2954</v>
      </c>
      <c r="B719" t="s">
        <v>2955</v>
      </c>
      <c r="C719" t="s">
        <v>2956</v>
      </c>
      <c r="D719" t="s">
        <v>2957</v>
      </c>
      <c r="E719" t="s">
        <v>2958</v>
      </c>
      <c r="F719" t="s">
        <v>2959</v>
      </c>
      <c r="G719" t="s">
        <v>2960</v>
      </c>
      <c r="H719" t="str">
        <f>"01239 612308"</f>
        <v>01239 612308</v>
      </c>
    </row>
    <row r="720" spans="1:8">
      <c r="A720" t="s">
        <v>2954</v>
      </c>
      <c r="B720" t="s">
        <v>2961</v>
      </c>
      <c r="D720" t="s">
        <v>2962</v>
      </c>
      <c r="E720" t="s">
        <v>2963</v>
      </c>
      <c r="F720" t="s">
        <v>2964</v>
      </c>
      <c r="G720" t="s">
        <v>2965</v>
      </c>
      <c r="H720" t="str">
        <f>"01239 710228"</f>
        <v>01239 710228</v>
      </c>
    </row>
    <row r="721" spans="1:8">
      <c r="A721" t="s">
        <v>2966</v>
      </c>
      <c r="B721" t="s">
        <v>2967</v>
      </c>
      <c r="C721" t="s">
        <v>2968</v>
      </c>
      <c r="D721" t="s">
        <v>1054</v>
      </c>
      <c r="E721" t="s">
        <v>1069</v>
      </c>
      <c r="F721" t="s">
        <v>2969</v>
      </c>
      <c r="G721" t="s">
        <v>2970</v>
      </c>
      <c r="H721" t="str">
        <f>"01792 450010"</f>
        <v>01792 450010</v>
      </c>
    </row>
    <row r="722" spans="1:8">
      <c r="A722" t="s">
        <v>2966</v>
      </c>
      <c r="B722" t="s">
        <v>2972</v>
      </c>
      <c r="C722" t="s">
        <v>2971</v>
      </c>
      <c r="D722" t="s">
        <v>1054</v>
      </c>
      <c r="E722" t="s">
        <v>1069</v>
      </c>
      <c r="F722" t="s">
        <v>2973</v>
      </c>
      <c r="G722" t="s">
        <v>2974</v>
      </c>
      <c r="H722" t="str">
        <f>"01792 310731"</f>
        <v>01792 310731</v>
      </c>
    </row>
    <row r="723" spans="1:8">
      <c r="A723" t="s">
        <v>2966</v>
      </c>
      <c r="B723" t="s">
        <v>2976</v>
      </c>
      <c r="C723" t="s">
        <v>2975</v>
      </c>
      <c r="D723" t="s">
        <v>1054</v>
      </c>
      <c r="F723" t="s">
        <v>2977</v>
      </c>
      <c r="G723" t="s">
        <v>2974</v>
      </c>
      <c r="H723" t="str">
        <f>"01792 310731"</f>
        <v>01792 310731</v>
      </c>
    </row>
    <row r="724" spans="1:8">
      <c r="A724" t="s">
        <v>2966</v>
      </c>
      <c r="B724" t="s">
        <v>2979</v>
      </c>
      <c r="C724" t="s">
        <v>2978</v>
      </c>
      <c r="D724" t="s">
        <v>1054</v>
      </c>
      <c r="E724" t="s">
        <v>1069</v>
      </c>
      <c r="F724" t="s">
        <v>2980</v>
      </c>
      <c r="G724" t="s">
        <v>2974</v>
      </c>
      <c r="H724" t="str">
        <f>"01792 863633"</f>
        <v>01792 863633</v>
      </c>
    </row>
    <row r="725" spans="1:8">
      <c r="A725" t="s">
        <v>2966</v>
      </c>
      <c r="B725" t="s">
        <v>2981</v>
      </c>
      <c r="D725" t="s">
        <v>2982</v>
      </c>
      <c r="E725" t="s">
        <v>1054</v>
      </c>
      <c r="F725" t="s">
        <v>2983</v>
      </c>
      <c r="G725" t="s">
        <v>2974</v>
      </c>
      <c r="H725" t="str">
        <f>"01639 842709"</f>
        <v>01639 842709</v>
      </c>
    </row>
    <row r="726" spans="1:8">
      <c r="A726" t="s">
        <v>2966</v>
      </c>
      <c r="B726" t="s">
        <v>2984</v>
      </c>
      <c r="D726" t="s">
        <v>1054</v>
      </c>
      <c r="F726" t="s">
        <v>2985</v>
      </c>
      <c r="G726" t="s">
        <v>2974</v>
      </c>
      <c r="H726" t="str">
        <f>"01792 643677"</f>
        <v>01792 643677</v>
      </c>
    </row>
    <row r="727" spans="1:8">
      <c r="A727" t="s">
        <v>2966</v>
      </c>
      <c r="B727" t="s">
        <v>2987</v>
      </c>
      <c r="D727" t="s">
        <v>2986</v>
      </c>
      <c r="E727" t="s">
        <v>2963</v>
      </c>
      <c r="F727" t="s">
        <v>2988</v>
      </c>
      <c r="G727" t="s">
        <v>2989</v>
      </c>
      <c r="H727" t="str">
        <f>"01554788280"</f>
        <v>01554788280</v>
      </c>
    </row>
    <row r="728" spans="1:8">
      <c r="A728" t="s">
        <v>2966</v>
      </c>
      <c r="B728" t="s">
        <v>2991</v>
      </c>
      <c r="D728" t="s">
        <v>2990</v>
      </c>
      <c r="E728" t="s">
        <v>2963</v>
      </c>
      <c r="F728" t="s">
        <v>2992</v>
      </c>
      <c r="G728" t="s">
        <v>2974</v>
      </c>
      <c r="H728" t="str">
        <f>"01269 597978"</f>
        <v>01269 597978</v>
      </c>
    </row>
    <row r="729" spans="1:8">
      <c r="A729" t="s">
        <v>2966</v>
      </c>
      <c r="B729" t="s">
        <v>2994</v>
      </c>
      <c r="C729" t="s">
        <v>2993</v>
      </c>
      <c r="D729" t="s">
        <v>2995</v>
      </c>
      <c r="F729" t="s">
        <v>2996</v>
      </c>
      <c r="G729" t="s">
        <v>2974</v>
      </c>
      <c r="H729" t="str">
        <f>"01792310731"</f>
        <v>01792310731</v>
      </c>
    </row>
    <row r="730" spans="1:8">
      <c r="A730" t="s">
        <v>2997</v>
      </c>
      <c r="B730" t="s">
        <v>2998</v>
      </c>
      <c r="D730" t="s">
        <v>2999</v>
      </c>
      <c r="E730" t="s">
        <v>3000</v>
      </c>
      <c r="F730" t="s">
        <v>3001</v>
      </c>
      <c r="G730" t="s">
        <v>3002</v>
      </c>
      <c r="H730" t="str">
        <f>"01432 355301"</f>
        <v>01432 355301</v>
      </c>
    </row>
    <row r="731" spans="1:8">
      <c r="A731" t="s">
        <v>3003</v>
      </c>
      <c r="B731" t="s">
        <v>3004</v>
      </c>
      <c r="C731" t="s">
        <v>3005</v>
      </c>
      <c r="D731" t="s">
        <v>37</v>
      </c>
      <c r="E731" t="s">
        <v>38</v>
      </c>
      <c r="F731" t="s">
        <v>3006</v>
      </c>
      <c r="G731" t="s">
        <v>3007</v>
      </c>
      <c r="H731" t="str">
        <f>"0345 4080125"</f>
        <v>0345 4080125</v>
      </c>
    </row>
    <row r="732" spans="1:8">
      <c r="A732" t="s">
        <v>3003</v>
      </c>
      <c r="B732" t="s">
        <v>3009</v>
      </c>
      <c r="D732" t="s">
        <v>3008</v>
      </c>
      <c r="E732" t="s">
        <v>38</v>
      </c>
      <c r="F732" t="s">
        <v>3010</v>
      </c>
      <c r="G732" t="s">
        <v>3007</v>
      </c>
      <c r="H732" t="str">
        <f>"0345 4080125"</f>
        <v>0345 4080125</v>
      </c>
    </row>
    <row r="733" spans="1:8">
      <c r="A733" t="s">
        <v>3003</v>
      </c>
      <c r="B733" t="s">
        <v>3012</v>
      </c>
      <c r="D733" t="s">
        <v>3011</v>
      </c>
      <c r="E733" t="s">
        <v>2963</v>
      </c>
      <c r="F733" t="s">
        <v>3013</v>
      </c>
      <c r="G733" t="s">
        <v>3007</v>
      </c>
      <c r="H733" t="str">
        <f>"0345 4080125"</f>
        <v>0345 4080125</v>
      </c>
    </row>
    <row r="734" spans="1:8">
      <c r="A734" t="s">
        <v>3003</v>
      </c>
      <c r="B734" t="s">
        <v>3014</v>
      </c>
      <c r="C734" t="s">
        <v>3015</v>
      </c>
      <c r="D734" t="s">
        <v>3016</v>
      </c>
      <c r="F734" t="s">
        <v>3017</v>
      </c>
      <c r="G734" t="s">
        <v>3018</v>
      </c>
      <c r="H734" t="str">
        <f>"03454080125"</f>
        <v>03454080125</v>
      </c>
    </row>
    <row r="735" spans="1:8">
      <c r="A735" t="s">
        <v>3019</v>
      </c>
      <c r="B735" t="s">
        <v>3020</v>
      </c>
      <c r="C735" t="s">
        <v>3021</v>
      </c>
      <c r="D735" t="s">
        <v>57</v>
      </c>
      <c r="E735" t="s">
        <v>435</v>
      </c>
      <c r="F735" t="s">
        <v>3022</v>
      </c>
      <c r="G735" t="s">
        <v>3023</v>
      </c>
      <c r="H735" t="str">
        <f>"02037 636767"</f>
        <v>02037 636767</v>
      </c>
    </row>
    <row r="736" spans="1:8">
      <c r="A736" t="s">
        <v>3024</v>
      </c>
      <c r="B736" t="s">
        <v>3025</v>
      </c>
      <c r="D736" t="s">
        <v>1042</v>
      </c>
      <c r="E736" t="s">
        <v>1363</v>
      </c>
      <c r="F736" t="s">
        <v>3026</v>
      </c>
      <c r="G736" t="s">
        <v>3027</v>
      </c>
      <c r="H736" t="str">
        <f>"01656 645439"</f>
        <v>01656 645439</v>
      </c>
    </row>
    <row r="737" spans="1:8">
      <c r="A737" t="s">
        <v>3028</v>
      </c>
      <c r="B737" t="s">
        <v>3029</v>
      </c>
      <c r="D737" t="s">
        <v>3030</v>
      </c>
      <c r="E737" t="s">
        <v>3031</v>
      </c>
      <c r="F737" t="s">
        <v>3032</v>
      </c>
      <c r="G737" t="s">
        <v>3033</v>
      </c>
      <c r="H737" t="str">
        <f>"01639 884884"</f>
        <v>01639 884884</v>
      </c>
    </row>
    <row r="738" spans="1:8">
      <c r="A738" t="s">
        <v>3028</v>
      </c>
      <c r="B738" t="s">
        <v>3035</v>
      </c>
      <c r="D738" t="s">
        <v>3034</v>
      </c>
      <c r="E738" t="s">
        <v>2963</v>
      </c>
      <c r="F738" t="s">
        <v>3036</v>
      </c>
      <c r="G738" t="s">
        <v>3037</v>
      </c>
      <c r="H738" t="str">
        <f>"01269 842711"</f>
        <v>01269 842711</v>
      </c>
    </row>
    <row r="739" spans="1:8">
      <c r="A739" t="s">
        <v>3038</v>
      </c>
      <c r="B739" t="s">
        <v>3039</v>
      </c>
      <c r="D739" t="s">
        <v>3040</v>
      </c>
      <c r="E739" t="s">
        <v>1458</v>
      </c>
      <c r="F739" t="s">
        <v>3041</v>
      </c>
      <c r="G739" t="s">
        <v>3042</v>
      </c>
      <c r="H739" t="str">
        <f>"01912570382"</f>
        <v>01912570382</v>
      </c>
    </row>
    <row r="740" spans="1:8">
      <c r="A740" t="s">
        <v>3043</v>
      </c>
      <c r="B740" t="s">
        <v>3044</v>
      </c>
      <c r="D740" t="s">
        <v>1411</v>
      </c>
      <c r="E740" t="s">
        <v>1412</v>
      </c>
      <c r="F740" t="s">
        <v>3045</v>
      </c>
      <c r="G740" t="s">
        <v>3046</v>
      </c>
      <c r="H740" t="str">
        <f>"01473 213311"</f>
        <v>01473 213311</v>
      </c>
    </row>
    <row r="741" spans="1:8">
      <c r="A741" t="s">
        <v>3043</v>
      </c>
      <c r="B741" t="s">
        <v>3048</v>
      </c>
      <c r="D741" t="s">
        <v>3047</v>
      </c>
      <c r="F741" t="s">
        <v>3049</v>
      </c>
      <c r="G741" t="s">
        <v>3050</v>
      </c>
      <c r="H741" t="str">
        <f>"01394 834557"</f>
        <v>01394 834557</v>
      </c>
    </row>
    <row r="742" spans="1:8">
      <c r="A742" t="s">
        <v>3043</v>
      </c>
      <c r="B742" t="s">
        <v>3051</v>
      </c>
      <c r="C742" t="s">
        <v>1370</v>
      </c>
      <c r="D742" t="s">
        <v>3052</v>
      </c>
      <c r="F742" t="s">
        <v>1373</v>
      </c>
      <c r="G742" t="s">
        <v>3053</v>
      </c>
      <c r="H742" t="str">
        <f>"01394813732"</f>
        <v>01394813732</v>
      </c>
    </row>
    <row r="743" spans="1:8">
      <c r="A743" t="s">
        <v>3043</v>
      </c>
      <c r="B743" t="s">
        <v>3055</v>
      </c>
      <c r="D743" t="s">
        <v>3054</v>
      </c>
      <c r="F743" t="s">
        <v>3056</v>
      </c>
      <c r="G743" t="s">
        <v>3057</v>
      </c>
      <c r="H743" t="str">
        <f>"01449 613631"</f>
        <v>01449 613631</v>
      </c>
    </row>
    <row r="744" spans="1:8">
      <c r="A744" t="s">
        <v>3058</v>
      </c>
      <c r="B744" t="s">
        <v>3059</v>
      </c>
      <c r="D744" t="s">
        <v>3060</v>
      </c>
      <c r="E744" t="s">
        <v>1363</v>
      </c>
      <c r="F744" t="s">
        <v>3061</v>
      </c>
      <c r="G744" t="s">
        <v>3062</v>
      </c>
      <c r="H744" t="str">
        <f>"01443 423797"</f>
        <v>01443 423797</v>
      </c>
    </row>
    <row r="745" spans="1:8">
      <c r="A745" t="s">
        <v>3058</v>
      </c>
      <c r="B745" t="s">
        <v>3063</v>
      </c>
      <c r="D745" t="s">
        <v>2418</v>
      </c>
      <c r="E745" t="s">
        <v>1363</v>
      </c>
      <c r="F745" t="s">
        <v>3064</v>
      </c>
      <c r="G745" t="s">
        <v>3065</v>
      </c>
      <c r="H745" t="str">
        <f>"01685 872491"</f>
        <v>01685 872491</v>
      </c>
    </row>
    <row r="746" spans="1:8">
      <c r="A746" t="s">
        <v>3066</v>
      </c>
      <c r="B746" t="s">
        <v>3067</v>
      </c>
      <c r="C746" t="s">
        <v>3068</v>
      </c>
      <c r="D746" t="s">
        <v>3069</v>
      </c>
      <c r="E746" t="s">
        <v>280</v>
      </c>
      <c r="F746" t="s">
        <v>3070</v>
      </c>
      <c r="G746" t="s">
        <v>3071</v>
      </c>
      <c r="H746" t="str">
        <f>"01535 613678"</f>
        <v>01535 613678</v>
      </c>
    </row>
    <row r="747" spans="1:8">
      <c r="A747" t="s">
        <v>3066</v>
      </c>
      <c r="B747" t="s">
        <v>3072</v>
      </c>
      <c r="D747" t="s">
        <v>2251</v>
      </c>
      <c r="E747" t="s">
        <v>616</v>
      </c>
      <c r="F747" t="s">
        <v>3073</v>
      </c>
      <c r="G747" t="s">
        <v>3074</v>
      </c>
      <c r="H747" t="str">
        <f>"01756 692888"</f>
        <v>01756 692888</v>
      </c>
    </row>
    <row r="748" spans="1:8">
      <c r="A748" t="s">
        <v>3066</v>
      </c>
      <c r="B748" t="s">
        <v>3075</v>
      </c>
      <c r="D748" t="s">
        <v>674</v>
      </c>
      <c r="E748" t="s">
        <v>280</v>
      </c>
      <c r="F748" t="s">
        <v>3076</v>
      </c>
      <c r="G748" t="s">
        <v>3071</v>
      </c>
      <c r="H748" t="str">
        <f>"01274 352055"</f>
        <v>01274 352055</v>
      </c>
    </row>
    <row r="749" spans="1:8">
      <c r="A749" t="s">
        <v>3077</v>
      </c>
      <c r="B749" t="s">
        <v>3078</v>
      </c>
      <c r="D749" t="s">
        <v>1054</v>
      </c>
      <c r="F749" t="s">
        <v>3079</v>
      </c>
      <c r="G749" t="s">
        <v>3080</v>
      </c>
      <c r="H749" t="str">
        <f>"01792776776"</f>
        <v>01792776776</v>
      </c>
    </row>
    <row r="750" spans="1:8">
      <c r="A750" t="s">
        <v>3077</v>
      </c>
      <c r="B750" t="s">
        <v>3081</v>
      </c>
      <c r="C750" t="s">
        <v>3082</v>
      </c>
      <c r="D750" t="s">
        <v>3011</v>
      </c>
      <c r="F750" t="s">
        <v>3083</v>
      </c>
      <c r="G750" t="s">
        <v>3080</v>
      </c>
      <c r="H750" t="str">
        <f>"01267493110"</f>
        <v>01267493110</v>
      </c>
    </row>
    <row r="751" spans="1:8">
      <c r="A751" t="s">
        <v>3084</v>
      </c>
      <c r="B751" t="s">
        <v>3085</v>
      </c>
      <c r="D751" t="s">
        <v>303</v>
      </c>
      <c r="E751" t="s">
        <v>1358</v>
      </c>
      <c r="F751" t="s">
        <v>3086</v>
      </c>
      <c r="G751" t="s">
        <v>3087</v>
      </c>
      <c r="H751" t="str">
        <f>"029 20237777"</f>
        <v>029 20237777</v>
      </c>
    </row>
    <row r="752" spans="1:8">
      <c r="A752" t="s">
        <v>3084</v>
      </c>
      <c r="B752" t="s">
        <v>3088</v>
      </c>
      <c r="D752" t="s">
        <v>3089</v>
      </c>
      <c r="E752" t="s">
        <v>2125</v>
      </c>
      <c r="F752" t="s">
        <v>3090</v>
      </c>
      <c r="G752" t="s">
        <v>3091</v>
      </c>
      <c r="H752" t="str">
        <f>"01446 745660"</f>
        <v>01446 745660</v>
      </c>
    </row>
    <row r="753" spans="1:8">
      <c r="A753" t="s">
        <v>3092</v>
      </c>
      <c r="B753" t="s">
        <v>3093</v>
      </c>
      <c r="D753" t="s">
        <v>3094</v>
      </c>
      <c r="F753" t="s">
        <v>3095</v>
      </c>
      <c r="G753" t="s">
        <v>3096</v>
      </c>
      <c r="H753" t="str">
        <f>"01495 762244"</f>
        <v>01495 762244</v>
      </c>
    </row>
    <row r="754" spans="1:8">
      <c r="A754" t="s">
        <v>3092</v>
      </c>
      <c r="B754" t="s">
        <v>3097</v>
      </c>
      <c r="C754" t="s">
        <v>3098</v>
      </c>
      <c r="D754" t="s">
        <v>303</v>
      </c>
      <c r="F754" t="s">
        <v>3099</v>
      </c>
      <c r="G754" t="s">
        <v>3100</v>
      </c>
      <c r="H754" t="str">
        <f>"02921 154313"</f>
        <v>02921 154313</v>
      </c>
    </row>
    <row r="755" spans="1:8">
      <c r="A755" t="s">
        <v>3101</v>
      </c>
      <c r="B755" t="s">
        <v>3102</v>
      </c>
      <c r="C755" t="s">
        <v>3103</v>
      </c>
      <c r="D755" t="s">
        <v>455</v>
      </c>
      <c r="E755" t="s">
        <v>53</v>
      </c>
      <c r="F755" t="s">
        <v>3104</v>
      </c>
      <c r="G755" t="s">
        <v>3105</v>
      </c>
      <c r="H755" t="str">
        <f>"01285 659061"</f>
        <v>01285 659061</v>
      </c>
    </row>
    <row r="756" spans="1:8">
      <c r="A756" t="s">
        <v>3101</v>
      </c>
      <c r="B756" t="s">
        <v>3106</v>
      </c>
      <c r="D756" t="s">
        <v>158</v>
      </c>
      <c r="F756" t="s">
        <v>3107</v>
      </c>
      <c r="G756" t="s">
        <v>3108</v>
      </c>
      <c r="H756" t="str">
        <f>"01242 303769"</f>
        <v>01242 303769</v>
      </c>
    </row>
    <row r="757" spans="1:8">
      <c r="A757" t="s">
        <v>3109</v>
      </c>
      <c r="B757" t="s">
        <v>3110</v>
      </c>
      <c r="D757" t="s">
        <v>1616</v>
      </c>
      <c r="F757" t="s">
        <v>3111</v>
      </c>
      <c r="G757" t="s">
        <v>3112</v>
      </c>
      <c r="H757" t="str">
        <f>"01633 257844"</f>
        <v>01633 257844</v>
      </c>
    </row>
    <row r="758" spans="1:8">
      <c r="A758" t="s">
        <v>3113</v>
      </c>
      <c r="B758" t="s">
        <v>3114</v>
      </c>
      <c r="D758" t="s">
        <v>970</v>
      </c>
      <c r="E758" t="s">
        <v>971</v>
      </c>
      <c r="F758" t="s">
        <v>3115</v>
      </c>
      <c r="G758" t="s">
        <v>3116</v>
      </c>
      <c r="H758" t="str">
        <f>"01432 353481"</f>
        <v>01432 353481</v>
      </c>
    </row>
    <row r="759" spans="1:8">
      <c r="A759" t="s">
        <v>3113</v>
      </c>
      <c r="B759" t="s">
        <v>3118</v>
      </c>
      <c r="D759" t="s">
        <v>3117</v>
      </c>
      <c r="E759" t="s">
        <v>971</v>
      </c>
      <c r="F759" t="s">
        <v>3119</v>
      </c>
      <c r="G759" t="s">
        <v>3120</v>
      </c>
      <c r="H759" t="str">
        <f>"01568 616333"</f>
        <v>01568 616333</v>
      </c>
    </row>
    <row r="760" spans="1:8">
      <c r="A760" t="s">
        <v>3113</v>
      </c>
      <c r="B760" t="s">
        <v>3121</v>
      </c>
      <c r="C760" t="s">
        <v>3122</v>
      </c>
      <c r="D760" t="s">
        <v>2999</v>
      </c>
      <c r="E760" t="s">
        <v>971</v>
      </c>
      <c r="F760" t="s">
        <v>3123</v>
      </c>
      <c r="G760" t="s">
        <v>3124</v>
      </c>
      <c r="H760" t="str">
        <f>"01497 820312"</f>
        <v>01497 820312</v>
      </c>
    </row>
    <row r="761" spans="1:8">
      <c r="A761" t="s">
        <v>3125</v>
      </c>
      <c r="B761" t="s">
        <v>3126</v>
      </c>
      <c r="D761" t="s">
        <v>61</v>
      </c>
      <c r="E761" t="s">
        <v>1956</v>
      </c>
      <c r="F761" t="s">
        <v>3127</v>
      </c>
      <c r="G761" t="s">
        <v>3128</v>
      </c>
      <c r="H761" t="str">
        <f>"01803 847 777"</f>
        <v>01803 847 777</v>
      </c>
    </row>
    <row r="762" spans="1:8">
      <c r="A762" t="s">
        <v>3125</v>
      </c>
      <c r="B762" t="s">
        <v>3129</v>
      </c>
      <c r="C762" t="s">
        <v>3130</v>
      </c>
      <c r="D762" t="s">
        <v>3131</v>
      </c>
      <c r="E762" t="s">
        <v>309</v>
      </c>
      <c r="F762" t="s">
        <v>3132</v>
      </c>
      <c r="G762" t="s">
        <v>3133</v>
      </c>
      <c r="H762" t="str">
        <f>"01803 847777"</f>
        <v>01803 847777</v>
      </c>
    </row>
    <row r="763" spans="1:8">
      <c r="A763" t="s">
        <v>3125</v>
      </c>
      <c r="B763" t="s">
        <v>3134</v>
      </c>
      <c r="D763" t="s">
        <v>1511</v>
      </c>
      <c r="E763" t="s">
        <v>309</v>
      </c>
      <c r="F763" t="s">
        <v>3135</v>
      </c>
      <c r="G763" t="s">
        <v>3136</v>
      </c>
      <c r="H763" t="str">
        <f>"01548 855655 "</f>
        <v xml:space="preserve">01548 855655 </v>
      </c>
    </row>
    <row r="764" spans="1:8">
      <c r="A764" t="s">
        <v>3137</v>
      </c>
      <c r="B764" t="s">
        <v>3138</v>
      </c>
      <c r="D764" t="s">
        <v>3139</v>
      </c>
      <c r="E764" t="s">
        <v>3140</v>
      </c>
      <c r="F764" t="s">
        <v>3141</v>
      </c>
      <c r="G764" t="s">
        <v>3142</v>
      </c>
      <c r="H764" t="str">
        <f>"01291422753"</f>
        <v>01291422753</v>
      </c>
    </row>
    <row r="765" spans="1:8">
      <c r="A765" t="s">
        <v>3137</v>
      </c>
      <c r="B765" t="s">
        <v>3144</v>
      </c>
      <c r="D765" t="s">
        <v>3143</v>
      </c>
      <c r="F765" t="s">
        <v>3145</v>
      </c>
      <c r="G765" t="s">
        <v>3142</v>
      </c>
      <c r="H765" t="str">
        <f>"01600 716200"</f>
        <v>01600 716200</v>
      </c>
    </row>
    <row r="766" spans="1:8">
      <c r="A766" t="s">
        <v>3137</v>
      </c>
      <c r="B766" t="s">
        <v>3147</v>
      </c>
      <c r="D766" t="s">
        <v>3146</v>
      </c>
      <c r="F766" t="s">
        <v>3148</v>
      </c>
      <c r="G766" t="s">
        <v>3149</v>
      </c>
      <c r="H766" t="str">
        <f>"01291 623323"</f>
        <v>01291 623323</v>
      </c>
    </row>
    <row r="767" spans="1:8">
      <c r="A767" t="s">
        <v>3150</v>
      </c>
      <c r="B767" t="s">
        <v>3151</v>
      </c>
      <c r="C767" t="s">
        <v>3152</v>
      </c>
      <c r="D767" t="s">
        <v>1616</v>
      </c>
      <c r="F767" t="s">
        <v>3153</v>
      </c>
      <c r="G767" t="s">
        <v>3154</v>
      </c>
      <c r="H767" t="str">
        <f>"01633 262952"</f>
        <v>01633 262952</v>
      </c>
    </row>
    <row r="768" spans="1:8">
      <c r="A768" t="s">
        <v>3150</v>
      </c>
      <c r="B768" t="s">
        <v>3155</v>
      </c>
      <c r="D768" t="s">
        <v>3156</v>
      </c>
      <c r="F768" t="s">
        <v>3157</v>
      </c>
      <c r="G768" t="s">
        <v>3154</v>
      </c>
      <c r="H768" t="str">
        <f>"01633 262952"</f>
        <v>01633 262952</v>
      </c>
    </row>
    <row r="769" spans="1:8">
      <c r="A769" t="s">
        <v>3158</v>
      </c>
      <c r="B769" t="s">
        <v>3159</v>
      </c>
      <c r="D769" t="s">
        <v>2447</v>
      </c>
      <c r="E769" t="s">
        <v>236</v>
      </c>
      <c r="F769" t="s">
        <v>3160</v>
      </c>
      <c r="G769" t="s">
        <v>3161</v>
      </c>
      <c r="H769" t="str">
        <f>"01827 58333"</f>
        <v>01827 58333</v>
      </c>
    </row>
    <row r="770" spans="1:8">
      <c r="A770" t="s">
        <v>3158</v>
      </c>
      <c r="B770" t="s">
        <v>3162</v>
      </c>
      <c r="C770" t="s">
        <v>3163</v>
      </c>
      <c r="D770" t="s">
        <v>2447</v>
      </c>
      <c r="E770" t="s">
        <v>236</v>
      </c>
      <c r="F770" t="s">
        <v>3164</v>
      </c>
      <c r="G770" t="s">
        <v>3165</v>
      </c>
      <c r="H770" t="str">
        <f>"01827 899059"</f>
        <v>01827 899059</v>
      </c>
    </row>
    <row r="771" spans="1:8">
      <c r="A771" t="s">
        <v>3158</v>
      </c>
      <c r="B771" t="s">
        <v>3166</v>
      </c>
      <c r="D771" t="s">
        <v>3167</v>
      </c>
      <c r="F771" t="s">
        <v>3168</v>
      </c>
      <c r="G771" t="s">
        <v>3169</v>
      </c>
      <c r="H771" t="str">
        <f>"01773540480"</f>
        <v>01773540480</v>
      </c>
    </row>
    <row r="772" spans="1:8">
      <c r="A772" t="s">
        <v>3158</v>
      </c>
      <c r="B772" t="s">
        <v>3170</v>
      </c>
      <c r="C772" t="s">
        <v>1965</v>
      </c>
      <c r="D772" t="s">
        <v>61</v>
      </c>
      <c r="F772" t="s">
        <v>3171</v>
      </c>
      <c r="G772" t="s">
        <v>3172</v>
      </c>
      <c r="H772" t="str">
        <f>"01454 540530"</f>
        <v>01454 540530</v>
      </c>
    </row>
    <row r="773" spans="1:8">
      <c r="A773" t="s">
        <v>3158</v>
      </c>
      <c r="B773" t="s">
        <v>3173</v>
      </c>
      <c r="D773" t="s">
        <v>3174</v>
      </c>
      <c r="F773" t="s">
        <v>3175</v>
      </c>
      <c r="G773" t="s">
        <v>3176</v>
      </c>
      <c r="H773" t="str">
        <f>"01827 58333"</f>
        <v>01827 58333</v>
      </c>
    </row>
    <row r="774" spans="1:8">
      <c r="A774" t="s">
        <v>3158</v>
      </c>
      <c r="B774" t="s">
        <v>3177</v>
      </c>
      <c r="D774" t="s">
        <v>3178</v>
      </c>
      <c r="F774" t="s">
        <v>3179</v>
      </c>
      <c r="G774" t="s">
        <v>3180</v>
      </c>
      <c r="H774" t="str">
        <f>"01603 339174"</f>
        <v>01603 339174</v>
      </c>
    </row>
    <row r="775" spans="1:8">
      <c r="A775" t="s">
        <v>3158</v>
      </c>
      <c r="B775" t="s">
        <v>3181</v>
      </c>
      <c r="D775" t="s">
        <v>14</v>
      </c>
      <c r="F775" t="s">
        <v>3182</v>
      </c>
      <c r="G775" t="s">
        <v>3161</v>
      </c>
      <c r="H775" t="str">
        <f>"0121271020"</f>
        <v>0121271020</v>
      </c>
    </row>
    <row r="776" spans="1:8">
      <c r="A776" t="s">
        <v>3158</v>
      </c>
      <c r="B776" t="s">
        <v>3183</v>
      </c>
      <c r="C776" t="s">
        <v>419</v>
      </c>
      <c r="D776" t="s">
        <v>420</v>
      </c>
      <c r="F776" t="s">
        <v>3184</v>
      </c>
      <c r="G776" t="s">
        <v>3185</v>
      </c>
      <c r="H776" t="str">
        <f>"01772 367718"</f>
        <v>01772 367718</v>
      </c>
    </row>
    <row r="777" spans="1:8">
      <c r="A777" t="s">
        <v>3158</v>
      </c>
      <c r="B777" t="s">
        <v>3186</v>
      </c>
      <c r="D777" t="s">
        <v>57</v>
      </c>
      <c r="F777" t="s">
        <v>3187</v>
      </c>
      <c r="G777" t="s">
        <v>3176</v>
      </c>
      <c r="H777" t="str">
        <f>"02035049138"</f>
        <v>02035049138</v>
      </c>
    </row>
    <row r="778" spans="1:8">
      <c r="A778" t="s">
        <v>3158</v>
      </c>
      <c r="B778" t="s">
        <v>3188</v>
      </c>
      <c r="C778" t="s">
        <v>3189</v>
      </c>
      <c r="D778" t="s">
        <v>3190</v>
      </c>
      <c r="F778" t="s">
        <v>3191</v>
      </c>
      <c r="G778" t="s">
        <v>3192</v>
      </c>
      <c r="H778" t="str">
        <f>"01992 500456"</f>
        <v>01992 500456</v>
      </c>
    </row>
    <row r="779" spans="1:8">
      <c r="A779" t="s">
        <v>3158</v>
      </c>
      <c r="B779" t="s">
        <v>3193</v>
      </c>
      <c r="C779" t="s">
        <v>1541</v>
      </c>
      <c r="D779" t="s">
        <v>3194</v>
      </c>
      <c r="F779" t="s">
        <v>3195</v>
      </c>
      <c r="G779" t="s">
        <v>3196</v>
      </c>
      <c r="H779" t="str">
        <f>"0121 744 3691"</f>
        <v>0121 744 3691</v>
      </c>
    </row>
    <row r="780" spans="1:8">
      <c r="A780" t="s">
        <v>3197</v>
      </c>
      <c r="B780" t="s">
        <v>3198</v>
      </c>
      <c r="D780" t="s">
        <v>2990</v>
      </c>
      <c r="E780" t="s">
        <v>3199</v>
      </c>
      <c r="F780" t="s">
        <v>3200</v>
      </c>
      <c r="G780" t="s">
        <v>3201</v>
      </c>
      <c r="H780" t="str">
        <f>"01269 592658"</f>
        <v>01269 592658</v>
      </c>
    </row>
    <row r="781" spans="1:8">
      <c r="A781" t="s">
        <v>3197</v>
      </c>
      <c r="B781" t="s">
        <v>3202</v>
      </c>
      <c r="D781" t="s">
        <v>3203</v>
      </c>
      <c r="E781" t="s">
        <v>3199</v>
      </c>
      <c r="F781" t="s">
        <v>3204</v>
      </c>
      <c r="G781" t="s">
        <v>3205</v>
      </c>
      <c r="H781" t="str">
        <f>"01558822222"</f>
        <v>01558822222</v>
      </c>
    </row>
    <row r="782" spans="1:8">
      <c r="A782" t="s">
        <v>3197</v>
      </c>
      <c r="B782" t="s">
        <v>3206</v>
      </c>
      <c r="D782" t="s">
        <v>3011</v>
      </c>
      <c r="E782" t="s">
        <v>3199</v>
      </c>
      <c r="F782" t="s">
        <v>3207</v>
      </c>
      <c r="G782" t="s">
        <v>3208</v>
      </c>
      <c r="H782" t="str">
        <f>"01267233999"</f>
        <v>01267233999</v>
      </c>
    </row>
    <row r="783" spans="1:8">
      <c r="A783" t="s">
        <v>3209</v>
      </c>
      <c r="B783" t="s">
        <v>3210</v>
      </c>
      <c r="D783" t="s">
        <v>3211</v>
      </c>
      <c r="F783" t="s">
        <v>3212</v>
      </c>
      <c r="G783" t="s">
        <v>3213</v>
      </c>
      <c r="H783" t="str">
        <f>"01895256151"</f>
        <v>01895256151</v>
      </c>
    </row>
    <row r="784" spans="1:8">
      <c r="A784" t="s">
        <v>3209</v>
      </c>
      <c r="B784" t="s">
        <v>3214</v>
      </c>
      <c r="D784" t="s">
        <v>3215</v>
      </c>
      <c r="F784" t="s">
        <v>3216</v>
      </c>
      <c r="G784" t="s">
        <v>3213</v>
      </c>
      <c r="H784" t="str">
        <f>"01895 636037"</f>
        <v>01895 636037</v>
      </c>
    </row>
    <row r="785" spans="1:8">
      <c r="A785" t="s">
        <v>3209</v>
      </c>
      <c r="B785" t="s">
        <v>3217</v>
      </c>
      <c r="D785" t="s">
        <v>3218</v>
      </c>
      <c r="F785" t="s">
        <v>3219</v>
      </c>
      <c r="G785" t="s">
        <v>3213</v>
      </c>
      <c r="H785" t="str">
        <f>"02085786936"</f>
        <v>02085786936</v>
      </c>
    </row>
    <row r="786" spans="1:8">
      <c r="A786" t="s">
        <v>3220</v>
      </c>
      <c r="B786" t="s">
        <v>3221</v>
      </c>
      <c r="C786" t="s">
        <v>3222</v>
      </c>
      <c r="D786" t="s">
        <v>3223</v>
      </c>
      <c r="E786" t="s">
        <v>164</v>
      </c>
      <c r="F786" t="s">
        <v>3224</v>
      </c>
      <c r="G786" t="s">
        <v>3225</v>
      </c>
      <c r="H786" t="str">
        <f>"01305 778271"</f>
        <v>01305 778271</v>
      </c>
    </row>
    <row r="787" spans="1:8">
      <c r="A787" t="s">
        <v>3226</v>
      </c>
      <c r="B787" t="s">
        <v>3227</v>
      </c>
      <c r="D787" t="s">
        <v>3228</v>
      </c>
      <c r="E787" t="s">
        <v>1363</v>
      </c>
      <c r="F787" t="s">
        <v>3229</v>
      </c>
      <c r="G787" t="s">
        <v>3230</v>
      </c>
      <c r="H787" t="str">
        <f>"01685 373721"</f>
        <v>01685 373721</v>
      </c>
    </row>
    <row r="788" spans="1:8">
      <c r="A788" t="s">
        <v>3231</v>
      </c>
      <c r="B788" t="s">
        <v>3232</v>
      </c>
      <c r="D788" t="s">
        <v>3233</v>
      </c>
      <c r="E788" t="s">
        <v>1363</v>
      </c>
      <c r="F788" t="s">
        <v>3234</v>
      </c>
      <c r="G788" t="s">
        <v>3235</v>
      </c>
      <c r="H788" t="str">
        <f>"01443 830228"</f>
        <v>01443 830228</v>
      </c>
    </row>
    <row r="789" spans="1:8">
      <c r="A789" t="s">
        <v>3236</v>
      </c>
      <c r="B789" t="s">
        <v>3237</v>
      </c>
      <c r="D789" t="s">
        <v>3238</v>
      </c>
      <c r="E789" t="s">
        <v>775</v>
      </c>
      <c r="F789" t="s">
        <v>3239</v>
      </c>
      <c r="G789" t="s">
        <v>3240</v>
      </c>
      <c r="H789" t="str">
        <f>"01530 834466"</f>
        <v>01530 834466</v>
      </c>
    </row>
    <row r="790" spans="1:8">
      <c r="A790" t="s">
        <v>3236</v>
      </c>
      <c r="B790" t="s">
        <v>3241</v>
      </c>
      <c r="D790" t="s">
        <v>774</v>
      </c>
      <c r="E790" t="s">
        <v>775</v>
      </c>
      <c r="F790" t="s">
        <v>3242</v>
      </c>
      <c r="G790" t="s">
        <v>3243</v>
      </c>
      <c r="H790" t="str">
        <f>"0116 2551901"</f>
        <v>0116 2551901</v>
      </c>
    </row>
    <row r="791" spans="1:8">
      <c r="A791" t="s">
        <v>3236</v>
      </c>
      <c r="B791" t="s">
        <v>3244</v>
      </c>
      <c r="D791" t="s">
        <v>3245</v>
      </c>
      <c r="E791" t="s">
        <v>775</v>
      </c>
      <c r="F791" t="s">
        <v>3246</v>
      </c>
      <c r="G791" t="s">
        <v>3247</v>
      </c>
      <c r="H791" t="str">
        <f>"01530 414111"</f>
        <v>01530 414111</v>
      </c>
    </row>
    <row r="792" spans="1:8">
      <c r="A792" t="s">
        <v>3249</v>
      </c>
      <c r="B792" t="s">
        <v>3250</v>
      </c>
      <c r="C792" t="s">
        <v>3251</v>
      </c>
      <c r="D792" t="s">
        <v>308</v>
      </c>
      <c r="E792" t="s">
        <v>309</v>
      </c>
      <c r="F792" t="s">
        <v>3252</v>
      </c>
      <c r="G792" t="s">
        <v>3253</v>
      </c>
      <c r="H792" t="str">
        <f>"01803 213251"</f>
        <v>01803 213251</v>
      </c>
    </row>
    <row r="793" spans="1:8">
      <c r="A793" t="s">
        <v>3249</v>
      </c>
      <c r="B793" t="s">
        <v>3255</v>
      </c>
      <c r="C793" t="s">
        <v>3256</v>
      </c>
      <c r="D793" t="s">
        <v>3254</v>
      </c>
      <c r="E793" t="s">
        <v>309</v>
      </c>
      <c r="F793" t="s">
        <v>3257</v>
      </c>
      <c r="G793" t="s">
        <v>3258</v>
      </c>
      <c r="H793" t="str">
        <f>"01271 373813"</f>
        <v>01271 373813</v>
      </c>
    </row>
    <row r="794" spans="1:8">
      <c r="A794" t="s">
        <v>3249</v>
      </c>
      <c r="B794" t="s">
        <v>3259</v>
      </c>
      <c r="D794" t="s">
        <v>3260</v>
      </c>
      <c r="E794" t="s">
        <v>3261</v>
      </c>
      <c r="F794" t="s">
        <v>3262</v>
      </c>
      <c r="G794" t="s">
        <v>3263</v>
      </c>
      <c r="H794" t="str">
        <f>"01392 274006"</f>
        <v>01392 274006</v>
      </c>
    </row>
    <row r="795" spans="1:8">
      <c r="A795" t="s">
        <v>3264</v>
      </c>
      <c r="B795" t="s">
        <v>3265</v>
      </c>
      <c r="D795" t="s">
        <v>57</v>
      </c>
      <c r="F795" t="s">
        <v>3266</v>
      </c>
      <c r="G795" t="s">
        <v>3267</v>
      </c>
      <c r="H795" t="str">
        <f>"02076227257"</f>
        <v>02076227257</v>
      </c>
    </row>
    <row r="796" spans="1:8">
      <c r="A796" t="s">
        <v>3268</v>
      </c>
      <c r="B796" t="s">
        <v>3269</v>
      </c>
      <c r="D796" t="s">
        <v>3143</v>
      </c>
      <c r="E796" t="s">
        <v>3140</v>
      </c>
      <c r="F796" t="s">
        <v>3270</v>
      </c>
      <c r="G796" t="s">
        <v>3271</v>
      </c>
      <c r="H796" t="str">
        <f>"01600 775950"</f>
        <v>01600 775950</v>
      </c>
    </row>
    <row r="797" spans="1:8">
      <c r="A797" t="s">
        <v>3268</v>
      </c>
      <c r="B797" t="s">
        <v>586</v>
      </c>
      <c r="D797" t="s">
        <v>3272</v>
      </c>
      <c r="E797" t="s">
        <v>53</v>
      </c>
      <c r="F797" t="s">
        <v>3273</v>
      </c>
      <c r="G797" t="s">
        <v>3271</v>
      </c>
      <c r="H797" t="str">
        <f>"01594 833042"</f>
        <v>01594 833042</v>
      </c>
    </row>
    <row r="798" spans="1:8">
      <c r="A798" t="s">
        <v>3268</v>
      </c>
      <c r="B798" t="s">
        <v>3275</v>
      </c>
      <c r="C798" t="s">
        <v>3276</v>
      </c>
      <c r="D798" t="s">
        <v>3274</v>
      </c>
      <c r="E798" t="s">
        <v>971</v>
      </c>
      <c r="F798" t="s">
        <v>3277</v>
      </c>
      <c r="G798" t="s">
        <v>3278</v>
      </c>
      <c r="H798" t="str">
        <f>"01989564209"</f>
        <v>01989564209</v>
      </c>
    </row>
    <row r="799" spans="1:8">
      <c r="A799" t="s">
        <v>3279</v>
      </c>
      <c r="B799" t="s">
        <v>3280</v>
      </c>
      <c r="C799" t="s">
        <v>3281</v>
      </c>
      <c r="D799" t="s">
        <v>187</v>
      </c>
      <c r="E799" t="s">
        <v>990</v>
      </c>
      <c r="F799" t="s">
        <v>3282</v>
      </c>
      <c r="G799" t="s">
        <v>3283</v>
      </c>
      <c r="H799" t="str">
        <f>"0345 070 6000"</f>
        <v>0345 070 6000</v>
      </c>
    </row>
    <row r="800" spans="1:8">
      <c r="A800" t="s">
        <v>3279</v>
      </c>
      <c r="B800" t="s">
        <v>3284</v>
      </c>
      <c r="D800" t="s">
        <v>57</v>
      </c>
      <c r="F800" t="s">
        <v>3285</v>
      </c>
      <c r="G800" t="s">
        <v>3286</v>
      </c>
      <c r="H800" t="str">
        <f>"0345 070 6000"</f>
        <v>0345 070 6000</v>
      </c>
    </row>
    <row r="801" spans="1:8">
      <c r="A801" t="s">
        <v>3279</v>
      </c>
      <c r="B801" t="s">
        <v>3287</v>
      </c>
      <c r="D801" t="s">
        <v>1179</v>
      </c>
      <c r="F801" t="s">
        <v>3288</v>
      </c>
      <c r="G801" t="s">
        <v>3289</v>
      </c>
      <c r="H801" t="str">
        <f>"0345 070 6000"</f>
        <v>0345 070 6000</v>
      </c>
    </row>
    <row r="802" spans="1:8">
      <c r="A802" t="s">
        <v>3279</v>
      </c>
      <c r="B802" t="s">
        <v>3291</v>
      </c>
      <c r="D802" t="s">
        <v>3290</v>
      </c>
      <c r="F802" t="s">
        <v>3292</v>
      </c>
      <c r="G802" t="s">
        <v>3293</v>
      </c>
      <c r="H802" t="str">
        <f>"01923 225212"</f>
        <v>01923 225212</v>
      </c>
    </row>
    <row r="803" spans="1:8">
      <c r="A803" t="s">
        <v>3294</v>
      </c>
      <c r="B803" t="s">
        <v>3295</v>
      </c>
      <c r="D803" t="s">
        <v>217</v>
      </c>
      <c r="F803" t="s">
        <v>3296</v>
      </c>
      <c r="G803" t="s">
        <v>3297</v>
      </c>
      <c r="H803" t="str">
        <f>"020 7537 7000"</f>
        <v>020 7537 7000</v>
      </c>
    </row>
    <row r="804" spans="1:8">
      <c r="A804" t="s">
        <v>3298</v>
      </c>
      <c r="B804" t="s">
        <v>3299</v>
      </c>
      <c r="D804" t="s">
        <v>1117</v>
      </c>
      <c r="E804" t="s">
        <v>315</v>
      </c>
      <c r="F804" t="s">
        <v>3300</v>
      </c>
      <c r="G804" t="s">
        <v>3301</v>
      </c>
      <c r="H804" t="str">
        <f>"0161 475 7603"</f>
        <v>0161 475 7603</v>
      </c>
    </row>
    <row r="805" spans="1:8">
      <c r="A805" t="s">
        <v>3298</v>
      </c>
      <c r="B805" t="s">
        <v>3302</v>
      </c>
      <c r="C805" t="s">
        <v>3303</v>
      </c>
      <c r="D805" t="s">
        <v>3304</v>
      </c>
      <c r="E805" t="s">
        <v>315</v>
      </c>
      <c r="F805" t="s">
        <v>3305</v>
      </c>
      <c r="G805" t="s">
        <v>3306</v>
      </c>
      <c r="H805" t="str">
        <f>"01625 442100"</f>
        <v>01625 442100</v>
      </c>
    </row>
    <row r="806" spans="1:8">
      <c r="A806" t="s">
        <v>3298</v>
      </c>
      <c r="B806" t="s">
        <v>644</v>
      </c>
      <c r="C806" t="s">
        <v>645</v>
      </c>
      <c r="D806" t="s">
        <v>646</v>
      </c>
      <c r="E806" t="s">
        <v>315</v>
      </c>
      <c r="F806" t="s">
        <v>647</v>
      </c>
      <c r="G806" t="s">
        <v>3301</v>
      </c>
      <c r="H806" t="str">
        <f>"01260 282300"</f>
        <v>01260 282300</v>
      </c>
    </row>
    <row r="807" spans="1:8">
      <c r="A807" t="s">
        <v>3298</v>
      </c>
      <c r="B807" t="s">
        <v>3307</v>
      </c>
      <c r="D807" t="s">
        <v>440</v>
      </c>
      <c r="E807" t="s">
        <v>315</v>
      </c>
      <c r="F807" t="s">
        <v>3308</v>
      </c>
      <c r="G807" t="s">
        <v>3309</v>
      </c>
      <c r="H807" t="str">
        <f>"01244 305900"</f>
        <v>01244 305900</v>
      </c>
    </row>
    <row r="808" spans="1:8">
      <c r="A808" t="s">
        <v>3310</v>
      </c>
      <c r="B808" t="s">
        <v>3311</v>
      </c>
      <c r="D808" t="s">
        <v>3312</v>
      </c>
      <c r="F808" t="s">
        <v>3313</v>
      </c>
      <c r="G808" t="s">
        <v>3314</v>
      </c>
      <c r="H808" t="str">
        <f>"0161 969 3131"</f>
        <v>0161 969 3131</v>
      </c>
    </row>
    <row r="809" spans="1:8">
      <c r="A809" t="s">
        <v>3310</v>
      </c>
      <c r="B809" t="s">
        <v>3315</v>
      </c>
      <c r="D809" t="s">
        <v>297</v>
      </c>
      <c r="F809" t="s">
        <v>3316</v>
      </c>
      <c r="G809" t="s">
        <v>3314</v>
      </c>
      <c r="H809" t="str">
        <f>"0161 969 3131"</f>
        <v>0161 969 3131</v>
      </c>
    </row>
    <row r="810" spans="1:8">
      <c r="A810" t="s">
        <v>3317</v>
      </c>
      <c r="B810" t="s">
        <v>3318</v>
      </c>
      <c r="D810" t="s">
        <v>1853</v>
      </c>
      <c r="E810" t="s">
        <v>227</v>
      </c>
      <c r="F810" t="s">
        <v>3319</v>
      </c>
      <c r="G810" t="s">
        <v>3320</v>
      </c>
      <c r="H810" t="str">
        <f>"01226 210777"</f>
        <v>01226 210777</v>
      </c>
    </row>
    <row r="811" spans="1:8">
      <c r="A811" t="s">
        <v>3321</v>
      </c>
      <c r="B811" t="s">
        <v>3322</v>
      </c>
      <c r="D811" t="s">
        <v>3323</v>
      </c>
      <c r="E811" t="s">
        <v>2006</v>
      </c>
      <c r="F811" t="s">
        <v>3324</v>
      </c>
      <c r="G811" t="s">
        <v>3325</v>
      </c>
      <c r="H811" t="str">
        <f>"01784 464491"</f>
        <v>01784 464491</v>
      </c>
    </row>
    <row r="812" spans="1:8">
      <c r="A812" t="s">
        <v>3326</v>
      </c>
      <c r="B812" t="s">
        <v>3327</v>
      </c>
      <c r="C812" t="s">
        <v>3328</v>
      </c>
      <c r="D812" t="s">
        <v>3329</v>
      </c>
      <c r="E812" t="s">
        <v>3330</v>
      </c>
      <c r="F812" t="s">
        <v>3331</v>
      </c>
      <c r="G812" t="s">
        <v>3332</v>
      </c>
      <c r="H812" t="str">
        <f>"02920 470909"</f>
        <v>02920 470909</v>
      </c>
    </row>
    <row r="813" spans="1:8">
      <c r="A813" t="s">
        <v>3326</v>
      </c>
      <c r="B813" t="s">
        <v>3333</v>
      </c>
      <c r="C813" t="s">
        <v>3334</v>
      </c>
      <c r="D813" t="s">
        <v>1616</v>
      </c>
      <c r="F813" t="s">
        <v>3335</v>
      </c>
      <c r="G813" t="s">
        <v>3336</v>
      </c>
      <c r="H813" t="str">
        <f>"01633 213411"</f>
        <v>01633 213411</v>
      </c>
    </row>
    <row r="814" spans="1:8">
      <c r="A814" t="s">
        <v>3326</v>
      </c>
      <c r="B814" t="s">
        <v>3338</v>
      </c>
      <c r="C814" t="s">
        <v>3339</v>
      </c>
      <c r="D814" t="s">
        <v>3337</v>
      </c>
      <c r="F814" t="s">
        <v>3340</v>
      </c>
      <c r="G814" t="s">
        <v>3336</v>
      </c>
      <c r="H814" t="str">
        <f>"01873 857555"</f>
        <v>01873 857555</v>
      </c>
    </row>
    <row r="815" spans="1:8">
      <c r="A815" t="s">
        <v>3341</v>
      </c>
      <c r="B815" t="s">
        <v>3342</v>
      </c>
      <c r="C815" t="s">
        <v>3343</v>
      </c>
      <c r="D815" t="s">
        <v>3211</v>
      </c>
      <c r="E815" t="s">
        <v>2006</v>
      </c>
      <c r="F815" t="s">
        <v>3344</v>
      </c>
      <c r="G815" t="s">
        <v>3345</v>
      </c>
      <c r="H815" t="str">
        <f>"01895 272 481"</f>
        <v>01895 272 481</v>
      </c>
    </row>
    <row r="816" spans="1:8">
      <c r="A816" t="s">
        <v>3341</v>
      </c>
      <c r="B816" t="s">
        <v>3346</v>
      </c>
      <c r="D816" t="s">
        <v>3347</v>
      </c>
      <c r="E816" t="s">
        <v>2006</v>
      </c>
      <c r="F816" t="s">
        <v>3348</v>
      </c>
      <c r="G816" t="s">
        <v>3349</v>
      </c>
      <c r="H816" t="str">
        <f>"0208 813 6262"</f>
        <v>0208 813 6262</v>
      </c>
    </row>
    <row r="817" spans="1:8">
      <c r="A817" t="s">
        <v>3350</v>
      </c>
      <c r="B817" t="s">
        <v>3351</v>
      </c>
      <c r="D817" t="s">
        <v>2696</v>
      </c>
      <c r="E817" t="s">
        <v>171</v>
      </c>
      <c r="F817" t="s">
        <v>3352</v>
      </c>
      <c r="G817" t="s">
        <v>3353</v>
      </c>
      <c r="H817" t="str">
        <f>"01732 375343"</f>
        <v>01732 375343</v>
      </c>
    </row>
    <row r="818" spans="1:8">
      <c r="A818" t="s">
        <v>3350</v>
      </c>
      <c r="B818" t="s">
        <v>3354</v>
      </c>
      <c r="D818" t="s">
        <v>2540</v>
      </c>
      <c r="E818" t="s">
        <v>3355</v>
      </c>
      <c r="F818" t="s">
        <v>3356</v>
      </c>
      <c r="G818" t="s">
        <v>3357</v>
      </c>
      <c r="H818" t="str">
        <f>"01732 747900"</f>
        <v>01732 747900</v>
      </c>
    </row>
    <row r="819" spans="1:8">
      <c r="A819" t="s">
        <v>3358</v>
      </c>
      <c r="B819" t="s">
        <v>3359</v>
      </c>
      <c r="C819" t="s">
        <v>3360</v>
      </c>
      <c r="D819" t="s">
        <v>291</v>
      </c>
      <c r="E819" t="s">
        <v>292</v>
      </c>
      <c r="F819" t="s">
        <v>3361</v>
      </c>
      <c r="G819" t="s">
        <v>3362</v>
      </c>
      <c r="H819" t="str">
        <f>"01526 344858"</f>
        <v>01526 344858</v>
      </c>
    </row>
    <row r="820" spans="1:8">
      <c r="A820" t="s">
        <v>3363</v>
      </c>
      <c r="B820" t="s">
        <v>3364</v>
      </c>
      <c r="D820" t="s">
        <v>464</v>
      </c>
      <c r="F820" t="s">
        <v>3365</v>
      </c>
      <c r="G820" t="s">
        <v>3366</v>
      </c>
      <c r="H820" t="str">
        <f>"01458 441507"</f>
        <v>01458 441507</v>
      </c>
    </row>
    <row r="821" spans="1:8">
      <c r="A821" t="s">
        <v>3363</v>
      </c>
      <c r="B821" t="s">
        <v>3367</v>
      </c>
      <c r="D821" t="s">
        <v>1135</v>
      </c>
      <c r="F821" t="s">
        <v>3368</v>
      </c>
      <c r="G821" t="s">
        <v>3366</v>
      </c>
      <c r="H821" t="str">
        <f>"01823 273010"</f>
        <v>01823 273010</v>
      </c>
    </row>
    <row r="822" spans="1:8">
      <c r="A822" t="s">
        <v>3369</v>
      </c>
      <c r="B822" t="s">
        <v>3370</v>
      </c>
      <c r="D822" t="s">
        <v>892</v>
      </c>
      <c r="E822" t="s">
        <v>893</v>
      </c>
      <c r="F822" t="s">
        <v>3371</v>
      </c>
      <c r="G822" t="s">
        <v>3372</v>
      </c>
      <c r="H822" t="str">
        <f t="shared" ref="H822:H828" si="0">"0345 073 9900"</f>
        <v>0345 073 9900</v>
      </c>
    </row>
    <row r="823" spans="1:8">
      <c r="A823" t="s">
        <v>3369</v>
      </c>
      <c r="B823" t="s">
        <v>3373</v>
      </c>
      <c r="D823" t="s">
        <v>14</v>
      </c>
      <c r="E823" t="s">
        <v>3374</v>
      </c>
      <c r="F823" t="s">
        <v>3375</v>
      </c>
      <c r="G823" t="s">
        <v>3372</v>
      </c>
      <c r="H823" t="str">
        <f t="shared" si="0"/>
        <v>0345 073 9900</v>
      </c>
    </row>
    <row r="824" spans="1:8">
      <c r="A824" t="s">
        <v>3369</v>
      </c>
      <c r="B824" t="s">
        <v>3376</v>
      </c>
      <c r="D824" t="s">
        <v>355</v>
      </c>
      <c r="F824" t="s">
        <v>3377</v>
      </c>
      <c r="G824" t="s">
        <v>3372</v>
      </c>
      <c r="H824" t="str">
        <f t="shared" si="0"/>
        <v>0345 073 9900</v>
      </c>
    </row>
    <row r="825" spans="1:8">
      <c r="A825" t="s">
        <v>3369</v>
      </c>
      <c r="B825" t="s">
        <v>3378</v>
      </c>
      <c r="C825" t="s">
        <v>3379</v>
      </c>
      <c r="D825" t="s">
        <v>774</v>
      </c>
      <c r="E825" t="s">
        <v>775</v>
      </c>
      <c r="F825" t="s">
        <v>3380</v>
      </c>
      <c r="G825" t="s">
        <v>3372</v>
      </c>
      <c r="H825" t="str">
        <f t="shared" si="0"/>
        <v>0345 073 9900</v>
      </c>
    </row>
    <row r="826" spans="1:8">
      <c r="A826" t="s">
        <v>3369</v>
      </c>
      <c r="B826" t="s">
        <v>3381</v>
      </c>
      <c r="C826" t="s">
        <v>3382</v>
      </c>
      <c r="D826" t="s">
        <v>57</v>
      </c>
      <c r="F826" t="s">
        <v>3383</v>
      </c>
      <c r="G826" t="s">
        <v>3372</v>
      </c>
      <c r="H826" t="str">
        <f t="shared" si="0"/>
        <v>0345 073 9900</v>
      </c>
    </row>
    <row r="827" spans="1:8">
      <c r="A827" t="s">
        <v>3369</v>
      </c>
      <c r="B827" t="s">
        <v>3385</v>
      </c>
      <c r="D827" t="s">
        <v>297</v>
      </c>
      <c r="F827" t="s">
        <v>3386</v>
      </c>
      <c r="G827" t="s">
        <v>3372</v>
      </c>
      <c r="H827" t="str">
        <f t="shared" si="0"/>
        <v>0345 073 9900</v>
      </c>
    </row>
    <row r="828" spans="1:8">
      <c r="A828" t="s">
        <v>3369</v>
      </c>
      <c r="B828" t="s">
        <v>3388</v>
      </c>
      <c r="D828" t="s">
        <v>2178</v>
      </c>
      <c r="F828" t="s">
        <v>3389</v>
      </c>
      <c r="G828" t="s">
        <v>3372</v>
      </c>
      <c r="H828" t="str">
        <f t="shared" si="0"/>
        <v>0345 073 9900</v>
      </c>
    </row>
    <row r="829" spans="1:8">
      <c r="A829" t="s">
        <v>3390</v>
      </c>
      <c r="B829" t="s">
        <v>3391</v>
      </c>
      <c r="D829" t="s">
        <v>1468</v>
      </c>
      <c r="E829" t="s">
        <v>121</v>
      </c>
      <c r="F829" t="s">
        <v>3392</v>
      </c>
      <c r="G829" t="s">
        <v>3393</v>
      </c>
      <c r="H829" t="str">
        <f>"01264 333505"</f>
        <v>01264 333505</v>
      </c>
    </row>
    <row r="830" spans="1:8">
      <c r="A830" t="s">
        <v>3390</v>
      </c>
      <c r="B830" t="s">
        <v>3394</v>
      </c>
      <c r="D830" t="s">
        <v>2928</v>
      </c>
      <c r="E830" t="s">
        <v>703</v>
      </c>
      <c r="F830" t="s">
        <v>3395</v>
      </c>
      <c r="G830" t="s">
        <v>3396</v>
      </c>
      <c r="H830" t="str">
        <f>"01722 328871"</f>
        <v>01722 328871</v>
      </c>
    </row>
    <row r="831" spans="1:8">
      <c r="A831" t="s">
        <v>3397</v>
      </c>
      <c r="B831" t="s">
        <v>3398</v>
      </c>
      <c r="D831" t="s">
        <v>1132</v>
      </c>
      <c r="E831" t="s">
        <v>464</v>
      </c>
      <c r="F831" t="s">
        <v>3399</v>
      </c>
      <c r="G831" t="s">
        <v>3400</v>
      </c>
      <c r="H831" t="str">
        <f>"01278 451327"</f>
        <v>01278 451327</v>
      </c>
    </row>
    <row r="832" spans="1:8">
      <c r="A832" t="s">
        <v>3401</v>
      </c>
      <c r="B832" t="s">
        <v>3402</v>
      </c>
      <c r="D832" t="s">
        <v>1893</v>
      </c>
      <c r="E832" t="s">
        <v>121</v>
      </c>
      <c r="F832" t="s">
        <v>3403</v>
      </c>
      <c r="G832" t="s">
        <v>3404</v>
      </c>
      <c r="H832" t="str">
        <f>"02392 296296"</f>
        <v>02392 296296</v>
      </c>
    </row>
    <row r="833" spans="1:8">
      <c r="A833" t="s">
        <v>3405</v>
      </c>
      <c r="B833" t="s">
        <v>3406</v>
      </c>
      <c r="C833" t="s">
        <v>3407</v>
      </c>
      <c r="D833" t="s">
        <v>315</v>
      </c>
      <c r="F833" t="s">
        <v>3408</v>
      </c>
      <c r="G833" t="s">
        <v>3409</v>
      </c>
      <c r="H833" t="str">
        <f>"0161 456 8125"</f>
        <v>0161 456 8125</v>
      </c>
    </row>
    <row r="834" spans="1:8">
      <c r="A834" t="s">
        <v>3405</v>
      </c>
      <c r="B834" t="s">
        <v>3410</v>
      </c>
      <c r="C834" t="s">
        <v>1120</v>
      </c>
      <c r="D834" t="s">
        <v>1117</v>
      </c>
      <c r="E834" t="s">
        <v>315</v>
      </c>
      <c r="F834" t="s">
        <v>3411</v>
      </c>
      <c r="G834" t="s">
        <v>3409</v>
      </c>
      <c r="H834" t="str">
        <f>"0161 4568125"</f>
        <v>0161 4568125</v>
      </c>
    </row>
    <row r="835" spans="1:8">
      <c r="A835" t="s">
        <v>3412</v>
      </c>
      <c r="B835" t="s">
        <v>3413</v>
      </c>
      <c r="D835" t="s">
        <v>57</v>
      </c>
      <c r="F835" t="s">
        <v>3414</v>
      </c>
      <c r="G835" t="s">
        <v>3415</v>
      </c>
      <c r="H835" t="str">
        <f>"020 3440 8000"</f>
        <v>020 3440 8000</v>
      </c>
    </row>
    <row r="836" spans="1:8">
      <c r="A836" t="s">
        <v>3412</v>
      </c>
      <c r="B836" t="s">
        <v>3416</v>
      </c>
      <c r="D836" t="s">
        <v>57</v>
      </c>
      <c r="F836" t="s">
        <v>3417</v>
      </c>
      <c r="G836" t="s">
        <v>3415</v>
      </c>
      <c r="H836" t="str">
        <f>"020 3440 8000"</f>
        <v>020 3440 8000</v>
      </c>
    </row>
    <row r="837" spans="1:8">
      <c r="A837" t="s">
        <v>3418</v>
      </c>
      <c r="B837" t="s">
        <v>3419</v>
      </c>
      <c r="C837" t="s">
        <v>3420</v>
      </c>
      <c r="D837" t="s">
        <v>3211</v>
      </c>
      <c r="E837" t="s">
        <v>2006</v>
      </c>
      <c r="F837" t="s">
        <v>3421</v>
      </c>
      <c r="G837" t="s">
        <v>3422</v>
      </c>
      <c r="H837" t="str">
        <f>"020 8848 9988"</f>
        <v>020 8848 9988</v>
      </c>
    </row>
    <row r="838" spans="1:8">
      <c r="A838" t="s">
        <v>3423</v>
      </c>
      <c r="B838" t="s">
        <v>3424</v>
      </c>
      <c r="C838" t="s">
        <v>3425</v>
      </c>
      <c r="D838" t="s">
        <v>14</v>
      </c>
      <c r="E838" t="s">
        <v>16</v>
      </c>
      <c r="F838" t="s">
        <v>3426</v>
      </c>
      <c r="G838" t="s">
        <v>3427</v>
      </c>
      <c r="H838" t="str">
        <f>"0121 778 5031"</f>
        <v>0121 778 5031</v>
      </c>
    </row>
    <row r="839" spans="1:8">
      <c r="A839" t="s">
        <v>3428</v>
      </c>
      <c r="B839" t="s">
        <v>3429</v>
      </c>
      <c r="C839" t="s">
        <v>3430</v>
      </c>
      <c r="D839" t="s">
        <v>3431</v>
      </c>
      <c r="E839" t="s">
        <v>171</v>
      </c>
      <c r="F839" t="s">
        <v>3432</v>
      </c>
      <c r="G839" t="s">
        <v>3433</v>
      </c>
      <c r="H839" t="str">
        <f>"02084644242"</f>
        <v>02084644242</v>
      </c>
    </row>
    <row r="840" spans="1:8">
      <c r="A840" t="s">
        <v>3428</v>
      </c>
      <c r="B840" t="s">
        <v>3434</v>
      </c>
      <c r="C840" t="s">
        <v>3435</v>
      </c>
      <c r="D840" t="s">
        <v>1759</v>
      </c>
      <c r="E840" t="s">
        <v>200</v>
      </c>
      <c r="F840" t="s">
        <v>3436</v>
      </c>
      <c r="G840" t="s">
        <v>3433</v>
      </c>
      <c r="H840" t="str">
        <f>"01372 456221"</f>
        <v>01372 456221</v>
      </c>
    </row>
    <row r="841" spans="1:8">
      <c r="A841" t="s">
        <v>3428</v>
      </c>
      <c r="B841" t="s">
        <v>3437</v>
      </c>
      <c r="C841" t="s">
        <v>3438</v>
      </c>
      <c r="D841" t="s">
        <v>2540</v>
      </c>
      <c r="E841" t="s">
        <v>171</v>
      </c>
      <c r="F841" t="s">
        <v>3439</v>
      </c>
      <c r="G841" t="s">
        <v>3433</v>
      </c>
      <c r="H841" t="str">
        <f>"01732 457575"</f>
        <v>01732 457575</v>
      </c>
    </row>
    <row r="842" spans="1:8">
      <c r="A842" t="s">
        <v>3428</v>
      </c>
      <c r="B842" t="s">
        <v>3440</v>
      </c>
      <c r="D842" t="s">
        <v>57</v>
      </c>
      <c r="E842" t="s">
        <v>57</v>
      </c>
      <c r="F842" t="s">
        <v>3441</v>
      </c>
      <c r="G842" t="s">
        <v>3433</v>
      </c>
      <c r="H842" t="str">
        <f>"0207 481 2422"</f>
        <v>0207 481 2422</v>
      </c>
    </row>
    <row r="843" spans="1:8">
      <c r="A843" t="s">
        <v>3428</v>
      </c>
      <c r="B843" t="s">
        <v>3443</v>
      </c>
      <c r="C843" t="s">
        <v>3442</v>
      </c>
      <c r="D843" t="s">
        <v>171</v>
      </c>
      <c r="E843" t="s">
        <v>171</v>
      </c>
      <c r="F843" t="s">
        <v>3444</v>
      </c>
      <c r="G843" t="s">
        <v>3433</v>
      </c>
      <c r="H843" t="str">
        <f>"0208 295 1989"</f>
        <v>0208 295 1989</v>
      </c>
    </row>
    <row r="844" spans="1:8">
      <c r="A844" t="s">
        <v>3428</v>
      </c>
      <c r="B844" t="s">
        <v>3445</v>
      </c>
      <c r="C844" t="s">
        <v>3446</v>
      </c>
      <c r="D844" t="s">
        <v>1759</v>
      </c>
      <c r="E844" t="s">
        <v>200</v>
      </c>
      <c r="F844" t="s">
        <v>3447</v>
      </c>
      <c r="G844" t="s">
        <v>3433</v>
      </c>
      <c r="H844" t="str">
        <f>"01483 284567"</f>
        <v>01483 284567</v>
      </c>
    </row>
    <row r="845" spans="1:8">
      <c r="A845" t="s">
        <v>3448</v>
      </c>
      <c r="B845" t="s">
        <v>3449</v>
      </c>
      <c r="D845" t="s">
        <v>1318</v>
      </c>
      <c r="F845" t="s">
        <v>3450</v>
      </c>
      <c r="G845" t="s">
        <v>3451</v>
      </c>
      <c r="H845" t="str">
        <f>"01724 868611"</f>
        <v>01724 868611</v>
      </c>
    </row>
    <row r="846" spans="1:8">
      <c r="A846" t="s">
        <v>3448</v>
      </c>
      <c r="B846" t="s">
        <v>3452</v>
      </c>
      <c r="D846" t="s">
        <v>1406</v>
      </c>
      <c r="F846" t="s">
        <v>3453</v>
      </c>
      <c r="G846" t="s">
        <v>3451</v>
      </c>
      <c r="H846" t="str">
        <f>"01652 654111"</f>
        <v>01652 654111</v>
      </c>
    </row>
    <row r="847" spans="1:8">
      <c r="A847" t="s">
        <v>3448</v>
      </c>
      <c r="B847" t="s">
        <v>3454</v>
      </c>
      <c r="D847" t="s">
        <v>602</v>
      </c>
      <c r="F847" t="s">
        <v>3455</v>
      </c>
      <c r="G847" t="s">
        <v>3451</v>
      </c>
      <c r="H847" t="str">
        <f>"01427 872661"</f>
        <v>01427 872661</v>
      </c>
    </row>
    <row r="848" spans="1:8">
      <c r="A848" t="s">
        <v>3448</v>
      </c>
      <c r="B848" t="s">
        <v>2910</v>
      </c>
      <c r="D848" t="s">
        <v>3456</v>
      </c>
      <c r="F848" t="s">
        <v>3457</v>
      </c>
      <c r="G848" t="s">
        <v>3451</v>
      </c>
      <c r="H848" t="str">
        <f>"01652 247 100"</f>
        <v>01652 247 100</v>
      </c>
    </row>
    <row r="849" spans="1:8">
      <c r="A849" t="s">
        <v>3458</v>
      </c>
      <c r="B849" t="s">
        <v>3459</v>
      </c>
      <c r="D849" t="s">
        <v>3460</v>
      </c>
      <c r="E849" t="s">
        <v>132</v>
      </c>
      <c r="F849" t="s">
        <v>3461</v>
      </c>
      <c r="G849" t="s">
        <v>3462</v>
      </c>
      <c r="H849" t="str">
        <f>"01253 873481"</f>
        <v>01253 873481</v>
      </c>
    </row>
    <row r="850" spans="1:8">
      <c r="A850" t="s">
        <v>3458</v>
      </c>
      <c r="B850" t="s">
        <v>3463</v>
      </c>
      <c r="D850" t="s">
        <v>835</v>
      </c>
      <c r="E850" t="s">
        <v>132</v>
      </c>
      <c r="F850" t="s">
        <v>3464</v>
      </c>
      <c r="G850" t="s">
        <v>3465</v>
      </c>
      <c r="H850" t="str">
        <f>"01253 353308"</f>
        <v>01253 353308</v>
      </c>
    </row>
    <row r="851" spans="1:8">
      <c r="A851" t="s">
        <v>3458</v>
      </c>
      <c r="B851" t="s">
        <v>3466</v>
      </c>
      <c r="D851" t="s">
        <v>3467</v>
      </c>
      <c r="E851" t="s">
        <v>132</v>
      </c>
      <c r="F851" t="s">
        <v>3468</v>
      </c>
      <c r="G851" t="s">
        <v>3465</v>
      </c>
      <c r="H851" t="str">
        <f>"01253 890545"</f>
        <v>01253 890545</v>
      </c>
    </row>
    <row r="852" spans="1:8">
      <c r="A852" t="s">
        <v>3458</v>
      </c>
      <c r="B852" t="s">
        <v>3469</v>
      </c>
      <c r="D852" t="s">
        <v>3470</v>
      </c>
      <c r="E852" t="s">
        <v>132</v>
      </c>
      <c r="F852" t="s">
        <v>3471</v>
      </c>
      <c r="G852" t="s">
        <v>3462</v>
      </c>
      <c r="H852" t="str">
        <f>"01253 824111"</f>
        <v>01253 824111</v>
      </c>
    </row>
    <row r="853" spans="1:8">
      <c r="A853" t="s">
        <v>3472</v>
      </c>
      <c r="B853" t="s">
        <v>3473</v>
      </c>
      <c r="D853" t="s">
        <v>3474</v>
      </c>
      <c r="E853" t="s">
        <v>616</v>
      </c>
      <c r="F853" t="s">
        <v>3475</v>
      </c>
      <c r="G853" t="s">
        <v>3476</v>
      </c>
      <c r="H853" t="str">
        <f>"01723 352125"</f>
        <v>01723 352125</v>
      </c>
    </row>
    <row r="854" spans="1:8">
      <c r="A854" t="s">
        <v>3472</v>
      </c>
      <c r="B854" t="s">
        <v>3478</v>
      </c>
      <c r="D854" t="s">
        <v>3477</v>
      </c>
      <c r="E854" t="s">
        <v>3479</v>
      </c>
      <c r="F854" t="s">
        <v>3480</v>
      </c>
      <c r="G854" t="s">
        <v>3476</v>
      </c>
      <c r="H854" t="str">
        <f>"01262 673445"</f>
        <v>01262 673445</v>
      </c>
    </row>
    <row r="855" spans="1:8">
      <c r="A855" t="s">
        <v>3472</v>
      </c>
      <c r="B855" t="s">
        <v>3481</v>
      </c>
      <c r="D855" t="s">
        <v>3482</v>
      </c>
      <c r="E855" t="s">
        <v>616</v>
      </c>
      <c r="F855" t="s">
        <v>3483</v>
      </c>
      <c r="G855" t="s">
        <v>3476</v>
      </c>
      <c r="H855" t="str">
        <f>"01947 601122"</f>
        <v>01947 601122</v>
      </c>
    </row>
    <row r="856" spans="1:8">
      <c r="A856" t="s">
        <v>3472</v>
      </c>
      <c r="B856" t="s">
        <v>3484</v>
      </c>
      <c r="C856" t="s">
        <v>3485</v>
      </c>
      <c r="D856" t="s">
        <v>3486</v>
      </c>
      <c r="E856" t="s">
        <v>616</v>
      </c>
      <c r="F856" t="s">
        <v>3487</v>
      </c>
      <c r="G856" t="s">
        <v>3476</v>
      </c>
      <c r="H856" t="str">
        <f>"01723 890634"</f>
        <v>01723 890634</v>
      </c>
    </row>
    <row r="857" spans="1:8">
      <c r="A857" t="s">
        <v>3472</v>
      </c>
      <c r="B857" t="s">
        <v>3489</v>
      </c>
      <c r="D857" t="s">
        <v>3488</v>
      </c>
      <c r="E857" t="s">
        <v>3490</v>
      </c>
      <c r="F857" t="s">
        <v>3491</v>
      </c>
      <c r="G857" t="s">
        <v>3476</v>
      </c>
      <c r="H857" t="str">
        <f>"01377 253911"</f>
        <v>01377 253911</v>
      </c>
    </row>
    <row r="858" spans="1:8">
      <c r="A858" t="s">
        <v>3492</v>
      </c>
      <c r="B858" t="s">
        <v>3493</v>
      </c>
      <c r="D858" t="s">
        <v>874</v>
      </c>
      <c r="E858" t="s">
        <v>200</v>
      </c>
      <c r="F858" t="s">
        <v>3494</v>
      </c>
      <c r="G858" t="s">
        <v>3495</v>
      </c>
      <c r="H858" t="str">
        <f>"020 8940 8115"</f>
        <v>020 8940 8115</v>
      </c>
    </row>
    <row r="859" spans="1:8">
      <c r="A859" t="s">
        <v>3496</v>
      </c>
      <c r="B859" t="s">
        <v>3497</v>
      </c>
      <c r="C859" t="s">
        <v>3498</v>
      </c>
      <c r="D859" t="s">
        <v>1553</v>
      </c>
      <c r="E859" t="s">
        <v>164</v>
      </c>
      <c r="F859" t="s">
        <v>3499</v>
      </c>
      <c r="G859" t="s">
        <v>3500</v>
      </c>
      <c r="H859" t="str">
        <f>"01202 786161"</f>
        <v>01202 786161</v>
      </c>
    </row>
    <row r="860" spans="1:8">
      <c r="A860" t="s">
        <v>3496</v>
      </c>
      <c r="B860" t="s">
        <v>3501</v>
      </c>
      <c r="D860" t="s">
        <v>124</v>
      </c>
      <c r="E860" t="s">
        <v>121</v>
      </c>
      <c r="F860" t="s">
        <v>3502</v>
      </c>
      <c r="G860" t="s">
        <v>3503</v>
      </c>
      <c r="H860" t="str">
        <f>"023 8082 7492"</f>
        <v>023 8082 7492</v>
      </c>
    </row>
    <row r="861" spans="1:8">
      <c r="A861" t="s">
        <v>3496</v>
      </c>
      <c r="B861" t="s">
        <v>3504</v>
      </c>
      <c r="C861" t="s">
        <v>3505</v>
      </c>
      <c r="D861" t="s">
        <v>57</v>
      </c>
      <c r="F861" t="s">
        <v>3506</v>
      </c>
      <c r="G861" t="s">
        <v>3507</v>
      </c>
      <c r="H861" t="str">
        <f>"020 7492 9800"</f>
        <v>020 7492 9800</v>
      </c>
    </row>
    <row r="862" spans="1:8">
      <c r="A862" t="s">
        <v>3508</v>
      </c>
      <c r="B862" t="s">
        <v>3509</v>
      </c>
      <c r="C862" t="s">
        <v>3510</v>
      </c>
      <c r="D862" t="s">
        <v>3511</v>
      </c>
      <c r="E862" t="s">
        <v>616</v>
      </c>
      <c r="F862" t="s">
        <v>3512</v>
      </c>
      <c r="G862" t="s">
        <v>3513</v>
      </c>
      <c r="H862" t="str">
        <f>"01423 789050"</f>
        <v>01423 789050</v>
      </c>
    </row>
    <row r="863" spans="1:8">
      <c r="A863" t="s">
        <v>3508</v>
      </c>
      <c r="B863" t="s">
        <v>3515</v>
      </c>
      <c r="C863" t="s">
        <v>3516</v>
      </c>
      <c r="D863" t="s">
        <v>3517</v>
      </c>
      <c r="E863" t="s">
        <v>616</v>
      </c>
      <c r="F863" t="s">
        <v>3518</v>
      </c>
      <c r="G863" t="s">
        <v>3519</v>
      </c>
      <c r="H863" t="str">
        <f>"01904 409071"</f>
        <v>01904 409071</v>
      </c>
    </row>
    <row r="864" spans="1:8">
      <c r="A864" t="s">
        <v>3508</v>
      </c>
      <c r="B864" t="s">
        <v>3521</v>
      </c>
      <c r="D864" t="s">
        <v>3520</v>
      </c>
      <c r="E864" t="s">
        <v>616</v>
      </c>
      <c r="F864" t="s">
        <v>3522</v>
      </c>
      <c r="G864" t="s">
        <v>3513</v>
      </c>
      <c r="H864" t="str">
        <f>"01765 607200"</f>
        <v>01765 607200</v>
      </c>
    </row>
    <row r="865" spans="1:8">
      <c r="A865" t="s">
        <v>3508</v>
      </c>
      <c r="B865" t="s">
        <v>3524</v>
      </c>
      <c r="D865" t="s">
        <v>3523</v>
      </c>
      <c r="E865" t="s">
        <v>1487</v>
      </c>
      <c r="F865" t="s">
        <v>3525</v>
      </c>
      <c r="G865" t="s">
        <v>3513</v>
      </c>
      <c r="H865" t="str">
        <f>"01325 250111"</f>
        <v>01325 250111</v>
      </c>
    </row>
    <row r="866" spans="1:8">
      <c r="A866" t="s">
        <v>3508</v>
      </c>
      <c r="B866" t="s">
        <v>3526</v>
      </c>
      <c r="C866" t="s">
        <v>3527</v>
      </c>
      <c r="D866" t="s">
        <v>874</v>
      </c>
      <c r="E866" t="s">
        <v>616</v>
      </c>
      <c r="F866" t="s">
        <v>3528</v>
      </c>
      <c r="G866" t="s">
        <v>3513</v>
      </c>
      <c r="H866" t="str">
        <f>"01748 850950"</f>
        <v>01748 850950</v>
      </c>
    </row>
    <row r="867" spans="1:8">
      <c r="A867" t="s">
        <v>3508</v>
      </c>
      <c r="B867" t="s">
        <v>3529</v>
      </c>
      <c r="C867" t="s">
        <v>3530</v>
      </c>
      <c r="D867" t="s">
        <v>3531</v>
      </c>
      <c r="E867" t="s">
        <v>616</v>
      </c>
      <c r="F867" t="s">
        <v>3532</v>
      </c>
      <c r="G867" t="s">
        <v>3513</v>
      </c>
      <c r="H867" t="str">
        <f>"01642 711 354"</f>
        <v>01642 711 354</v>
      </c>
    </row>
    <row r="868" spans="1:8">
      <c r="A868" t="s">
        <v>3508</v>
      </c>
      <c r="B868" t="s">
        <v>3534</v>
      </c>
      <c r="D868" t="s">
        <v>3533</v>
      </c>
      <c r="E868" t="s">
        <v>616</v>
      </c>
      <c r="F868" t="s">
        <v>3535</v>
      </c>
      <c r="G868" t="s">
        <v>3513</v>
      </c>
      <c r="H868" t="str">
        <f>"01845 522891"</f>
        <v>01845 522891</v>
      </c>
    </row>
    <row r="869" spans="1:8">
      <c r="A869" t="s">
        <v>3508</v>
      </c>
      <c r="B869" t="s">
        <v>3536</v>
      </c>
      <c r="C869" t="s">
        <v>3537</v>
      </c>
      <c r="D869" t="s">
        <v>326</v>
      </c>
      <c r="E869" t="s">
        <v>280</v>
      </c>
      <c r="F869" t="s">
        <v>3538</v>
      </c>
      <c r="G869" t="s">
        <v>3513</v>
      </c>
      <c r="H869" t="str">
        <f>"01924 928380"</f>
        <v>01924 928380</v>
      </c>
    </row>
    <row r="870" spans="1:8">
      <c r="A870" t="s">
        <v>3508</v>
      </c>
      <c r="B870" t="s">
        <v>3539</v>
      </c>
      <c r="C870" t="s">
        <v>3540</v>
      </c>
      <c r="D870" t="s">
        <v>66</v>
      </c>
      <c r="F870" t="s">
        <v>3541</v>
      </c>
      <c r="G870" t="s">
        <v>3513</v>
      </c>
      <c r="H870" t="str">
        <f>"01768 639530"</f>
        <v>01768 639530</v>
      </c>
    </row>
    <row r="871" spans="1:8">
      <c r="A871" t="s">
        <v>3542</v>
      </c>
      <c r="B871" t="s">
        <v>3543</v>
      </c>
      <c r="D871" t="s">
        <v>3544</v>
      </c>
      <c r="E871" t="s">
        <v>502</v>
      </c>
      <c r="F871" t="s">
        <v>3545</v>
      </c>
      <c r="G871" t="s">
        <v>3546</v>
      </c>
      <c r="H871" t="str">
        <f>"01444 235232"</f>
        <v>01444 235232</v>
      </c>
    </row>
    <row r="872" spans="1:8">
      <c r="A872" t="s">
        <v>3542</v>
      </c>
      <c r="B872" t="s">
        <v>3547</v>
      </c>
      <c r="D872" t="s">
        <v>1739</v>
      </c>
      <c r="E872" t="s">
        <v>502</v>
      </c>
      <c r="F872" t="s">
        <v>3548</v>
      </c>
      <c r="G872" t="s">
        <v>3546</v>
      </c>
      <c r="H872" t="str">
        <f>"01273 956300"</f>
        <v>01273 956300</v>
      </c>
    </row>
    <row r="873" spans="1:8">
      <c r="A873" t="s">
        <v>3549</v>
      </c>
      <c r="B873" t="s">
        <v>3550</v>
      </c>
      <c r="C873" t="s">
        <v>3551</v>
      </c>
      <c r="D873" t="s">
        <v>2280</v>
      </c>
      <c r="E873" t="s">
        <v>2281</v>
      </c>
      <c r="F873" t="s">
        <v>3552</v>
      </c>
      <c r="G873" t="s">
        <v>3553</v>
      </c>
      <c r="H873" t="str">
        <f>"01872 241414"</f>
        <v>01872 241414</v>
      </c>
    </row>
    <row r="874" spans="1:8">
      <c r="A874" t="s">
        <v>3549</v>
      </c>
      <c r="B874" t="s">
        <v>3554</v>
      </c>
      <c r="D874" t="s">
        <v>2288</v>
      </c>
      <c r="E874" t="s">
        <v>2281</v>
      </c>
      <c r="F874" t="s">
        <v>3555</v>
      </c>
      <c r="G874" t="s">
        <v>3556</v>
      </c>
      <c r="H874" t="str">
        <f>"01637 871414"</f>
        <v>01637 871414</v>
      </c>
    </row>
    <row r="875" spans="1:8">
      <c r="A875" t="s">
        <v>3549</v>
      </c>
      <c r="B875" t="s">
        <v>3557</v>
      </c>
      <c r="C875" t="s">
        <v>3558</v>
      </c>
      <c r="D875" t="s">
        <v>3559</v>
      </c>
      <c r="E875" t="s">
        <v>2281</v>
      </c>
      <c r="F875" t="s">
        <v>3560</v>
      </c>
      <c r="G875" t="s">
        <v>3561</v>
      </c>
      <c r="H875" t="str">
        <f>"01326 313441"</f>
        <v>01326 313441</v>
      </c>
    </row>
    <row r="876" spans="1:8">
      <c r="A876" t="s">
        <v>3549</v>
      </c>
      <c r="B876" t="s">
        <v>3562</v>
      </c>
      <c r="D876" t="s">
        <v>3563</v>
      </c>
      <c r="E876" t="s">
        <v>2281</v>
      </c>
      <c r="F876" t="s">
        <v>3564</v>
      </c>
      <c r="G876" t="s">
        <v>3556</v>
      </c>
      <c r="H876" t="str">
        <f>"01209 714278"</f>
        <v>01209 714278</v>
      </c>
    </row>
    <row r="877" spans="1:8">
      <c r="A877" t="s">
        <v>3549</v>
      </c>
      <c r="B877" t="s">
        <v>3565</v>
      </c>
      <c r="D877" t="s">
        <v>3566</v>
      </c>
      <c r="E877" t="s">
        <v>2281</v>
      </c>
      <c r="F877" t="s">
        <v>3567</v>
      </c>
      <c r="G877" t="s">
        <v>3556</v>
      </c>
      <c r="H877" t="str">
        <f>"01326 574001"</f>
        <v>01326 574001</v>
      </c>
    </row>
    <row r="878" spans="1:8">
      <c r="A878" t="s">
        <v>3549</v>
      </c>
      <c r="B878" t="s">
        <v>3568</v>
      </c>
      <c r="C878" t="s">
        <v>3569</v>
      </c>
      <c r="D878" t="s">
        <v>3570</v>
      </c>
      <c r="E878" t="s">
        <v>2281</v>
      </c>
      <c r="F878" t="s">
        <v>3571</v>
      </c>
      <c r="G878" t="s">
        <v>3556</v>
      </c>
      <c r="H878" t="str">
        <f>"01726 879333"</f>
        <v>01726 879333</v>
      </c>
    </row>
    <row r="879" spans="1:8">
      <c r="A879" t="s">
        <v>3549</v>
      </c>
      <c r="B879" t="s">
        <v>3572</v>
      </c>
      <c r="D879" t="s">
        <v>3573</v>
      </c>
      <c r="E879" t="s">
        <v>2281</v>
      </c>
      <c r="F879" t="s">
        <v>3574</v>
      </c>
      <c r="G879" t="s">
        <v>3556</v>
      </c>
      <c r="H879" t="str">
        <f>"01736 364014"</f>
        <v>01736 364014</v>
      </c>
    </row>
    <row r="880" spans="1:8">
      <c r="A880" t="s">
        <v>3549</v>
      </c>
      <c r="B880" t="s">
        <v>3575</v>
      </c>
      <c r="D880" t="s">
        <v>3559</v>
      </c>
      <c r="F880" t="s">
        <v>3576</v>
      </c>
      <c r="G880" t="s">
        <v>3577</v>
      </c>
      <c r="H880" t="str">
        <f>"01326 316655"</f>
        <v>01326 316655</v>
      </c>
    </row>
    <row r="881" spans="1:8">
      <c r="A881" t="s">
        <v>3578</v>
      </c>
      <c r="B881" t="s">
        <v>3579</v>
      </c>
      <c r="D881" t="s">
        <v>627</v>
      </c>
      <c r="E881" t="s">
        <v>410</v>
      </c>
      <c r="F881" t="s">
        <v>3580</v>
      </c>
      <c r="G881" t="s">
        <v>3581</v>
      </c>
      <c r="H881" t="str">
        <f>"01777 703827"</f>
        <v>01777 703827</v>
      </c>
    </row>
    <row r="882" spans="1:8">
      <c r="A882" t="s">
        <v>3578</v>
      </c>
      <c r="B882" t="s">
        <v>3583</v>
      </c>
      <c r="C882" t="s">
        <v>3582</v>
      </c>
      <c r="D882" t="s">
        <v>226</v>
      </c>
      <c r="E882" t="s">
        <v>227</v>
      </c>
      <c r="F882" t="s">
        <v>3584</v>
      </c>
      <c r="G882" t="s">
        <v>3585</v>
      </c>
      <c r="H882" t="str">
        <f>"01302 710555"</f>
        <v>01302 710555</v>
      </c>
    </row>
    <row r="883" spans="1:8">
      <c r="A883" t="s">
        <v>3578</v>
      </c>
      <c r="B883" t="s">
        <v>3586</v>
      </c>
      <c r="C883" t="s">
        <v>3587</v>
      </c>
      <c r="D883" t="s">
        <v>3588</v>
      </c>
      <c r="E883" t="s">
        <v>410</v>
      </c>
      <c r="F883" t="s">
        <v>3589</v>
      </c>
      <c r="G883" t="s">
        <v>3585</v>
      </c>
      <c r="H883" t="str">
        <f>"01623 860581"</f>
        <v>01623 860581</v>
      </c>
    </row>
    <row r="884" spans="1:8">
      <c r="A884" t="s">
        <v>3578</v>
      </c>
      <c r="B884" t="s">
        <v>3590</v>
      </c>
      <c r="C884" t="s">
        <v>3591</v>
      </c>
      <c r="D884" t="s">
        <v>226</v>
      </c>
      <c r="E884" t="s">
        <v>227</v>
      </c>
      <c r="F884" t="s">
        <v>3592</v>
      </c>
      <c r="G884" t="s">
        <v>3585</v>
      </c>
      <c r="H884" t="str">
        <f>"01302 217970"</f>
        <v>01302 217970</v>
      </c>
    </row>
    <row r="885" spans="1:8">
      <c r="A885" t="s">
        <v>3593</v>
      </c>
      <c r="B885" t="s">
        <v>3594</v>
      </c>
      <c r="D885" t="s">
        <v>3215</v>
      </c>
      <c r="F885" t="s">
        <v>3595</v>
      </c>
      <c r="G885" t="s">
        <v>3596</v>
      </c>
      <c r="H885" t="str">
        <f>"01895 621777"</f>
        <v>01895 621777</v>
      </c>
    </row>
    <row r="886" spans="1:8">
      <c r="A886" t="s">
        <v>3593</v>
      </c>
      <c r="B886" t="s">
        <v>3597</v>
      </c>
      <c r="D886" t="s">
        <v>3598</v>
      </c>
      <c r="E886" t="s">
        <v>3238</v>
      </c>
      <c r="F886" t="s">
        <v>3599</v>
      </c>
      <c r="G886" t="s">
        <v>3600</v>
      </c>
      <c r="H886" t="str">
        <f>"01530443600"</f>
        <v>01530443600</v>
      </c>
    </row>
    <row r="887" spans="1:8">
      <c r="A887" t="s">
        <v>3601</v>
      </c>
      <c r="B887" t="s">
        <v>3602</v>
      </c>
      <c r="D887" t="s">
        <v>14</v>
      </c>
      <c r="E887" t="s">
        <v>16</v>
      </c>
      <c r="F887" t="s">
        <v>3603</v>
      </c>
      <c r="G887" t="s">
        <v>3604</v>
      </c>
      <c r="H887" t="str">
        <f>"0121 200 2818"</f>
        <v>0121 200 2818</v>
      </c>
    </row>
    <row r="888" spans="1:8">
      <c r="A888" t="s">
        <v>3605</v>
      </c>
      <c r="B888" t="s">
        <v>3606</v>
      </c>
      <c r="D888" t="s">
        <v>1443</v>
      </c>
      <c r="E888" t="s">
        <v>736</v>
      </c>
      <c r="F888" t="s">
        <v>3607</v>
      </c>
      <c r="G888" t="s">
        <v>3608</v>
      </c>
      <c r="H888" t="str">
        <f>"01245493939"</f>
        <v>01245493939</v>
      </c>
    </row>
    <row r="889" spans="1:8">
      <c r="A889" t="s">
        <v>3609</v>
      </c>
      <c r="B889" t="s">
        <v>3610</v>
      </c>
      <c r="C889" t="s">
        <v>3611</v>
      </c>
      <c r="D889" t="s">
        <v>124</v>
      </c>
      <c r="E889" t="s">
        <v>121</v>
      </c>
      <c r="F889" t="s">
        <v>3612</v>
      </c>
      <c r="G889" t="s">
        <v>3613</v>
      </c>
      <c r="H889" t="str">
        <f>"02380 849381"</f>
        <v>02380 849381</v>
      </c>
    </row>
    <row r="890" spans="1:8">
      <c r="A890" t="s">
        <v>3609</v>
      </c>
      <c r="B890" t="s">
        <v>3614</v>
      </c>
      <c r="C890" t="s">
        <v>1539</v>
      </c>
      <c r="D890" t="s">
        <v>124</v>
      </c>
      <c r="E890" t="s">
        <v>121</v>
      </c>
      <c r="F890" t="s">
        <v>3615</v>
      </c>
      <c r="G890" t="s">
        <v>3613</v>
      </c>
      <c r="H890" t="str">
        <f>"02380 849381"</f>
        <v>02380 849381</v>
      </c>
    </row>
    <row r="891" spans="1:8">
      <c r="A891" t="s">
        <v>3616</v>
      </c>
      <c r="B891" t="s">
        <v>3617</v>
      </c>
      <c r="D891" t="s">
        <v>1187</v>
      </c>
      <c r="E891" t="s">
        <v>3618</v>
      </c>
      <c r="F891" t="s">
        <v>3619</v>
      </c>
      <c r="G891" t="s">
        <v>3620</v>
      </c>
      <c r="H891" t="str">
        <f>"01480 225540"</f>
        <v>01480 225540</v>
      </c>
    </row>
    <row r="892" spans="1:8">
      <c r="A892" t="s">
        <v>3621</v>
      </c>
      <c r="B892" t="s">
        <v>3622</v>
      </c>
      <c r="D892" t="s">
        <v>541</v>
      </c>
      <c r="E892" t="s">
        <v>502</v>
      </c>
      <c r="F892" t="s">
        <v>3623</v>
      </c>
      <c r="G892" t="s">
        <v>3624</v>
      </c>
      <c r="H892" t="str">
        <f>"01403 337337"</f>
        <v>01403 337337</v>
      </c>
    </row>
    <row r="893" spans="1:8">
      <c r="A893" t="s">
        <v>3621</v>
      </c>
      <c r="B893" t="s">
        <v>3625</v>
      </c>
      <c r="D893" t="s">
        <v>580</v>
      </c>
      <c r="E893" t="s">
        <v>502</v>
      </c>
      <c r="F893" t="s">
        <v>3626</v>
      </c>
      <c r="G893" t="s">
        <v>3624</v>
      </c>
      <c r="H893" t="str">
        <f>"01444 459954"</f>
        <v>01444 459954</v>
      </c>
    </row>
    <row r="894" spans="1:8">
      <c r="A894" t="s">
        <v>3627</v>
      </c>
      <c r="B894" t="s">
        <v>3628</v>
      </c>
      <c r="C894" t="s">
        <v>1842</v>
      </c>
      <c r="D894" t="s">
        <v>57</v>
      </c>
      <c r="F894" t="s">
        <v>3629</v>
      </c>
      <c r="G894" t="s">
        <v>3630</v>
      </c>
      <c r="H894" t="str">
        <f>"020 8852 4433"</f>
        <v>020 8852 4433</v>
      </c>
    </row>
    <row r="895" spans="1:8">
      <c r="A895" t="s">
        <v>3631</v>
      </c>
      <c r="B895" t="s">
        <v>3632</v>
      </c>
      <c r="D895" t="s">
        <v>3633</v>
      </c>
      <c r="E895" t="s">
        <v>200</v>
      </c>
      <c r="F895" t="s">
        <v>3634</v>
      </c>
      <c r="G895" t="s">
        <v>3635</v>
      </c>
      <c r="H895" t="str">
        <f>"01483 268847"</f>
        <v>01483 268847</v>
      </c>
    </row>
    <row r="896" spans="1:8">
      <c r="A896" t="s">
        <v>3636</v>
      </c>
      <c r="B896" t="s">
        <v>3637</v>
      </c>
      <c r="D896" t="s">
        <v>3638</v>
      </c>
      <c r="E896" t="s">
        <v>1412</v>
      </c>
      <c r="F896" t="s">
        <v>3639</v>
      </c>
      <c r="G896" t="s">
        <v>3640</v>
      </c>
      <c r="H896" t="str">
        <f>"01986 892721"</f>
        <v>01986 892721</v>
      </c>
    </row>
    <row r="897" spans="1:8">
      <c r="A897" t="s">
        <v>3641</v>
      </c>
      <c r="B897" t="s">
        <v>3642</v>
      </c>
      <c r="D897" t="s">
        <v>57</v>
      </c>
      <c r="F897" t="s">
        <v>3643</v>
      </c>
      <c r="G897" t="s">
        <v>3644</v>
      </c>
      <c r="H897" t="str">
        <f>"02035883500"</f>
        <v>02035883500</v>
      </c>
    </row>
    <row r="898" spans="1:8">
      <c r="A898" t="s">
        <v>3641</v>
      </c>
      <c r="B898" t="s">
        <v>3645</v>
      </c>
      <c r="D898" t="s">
        <v>3646</v>
      </c>
      <c r="F898" t="s">
        <v>3647</v>
      </c>
      <c r="G898" t="s">
        <v>3644</v>
      </c>
      <c r="H898" t="str">
        <f>"0203 588 3500"</f>
        <v>0203 588 3500</v>
      </c>
    </row>
    <row r="899" spans="1:8">
      <c r="A899" t="s">
        <v>3648</v>
      </c>
      <c r="B899" t="s">
        <v>3649</v>
      </c>
      <c r="D899" t="s">
        <v>170</v>
      </c>
      <c r="E899" t="s">
        <v>171</v>
      </c>
      <c r="F899" t="s">
        <v>3650</v>
      </c>
      <c r="G899" t="s">
        <v>3651</v>
      </c>
      <c r="H899" t="str">
        <f>"01622 690691"</f>
        <v>01622 690691</v>
      </c>
    </row>
    <row r="900" spans="1:8">
      <c r="A900" t="s">
        <v>3648</v>
      </c>
      <c r="B900" t="s">
        <v>3652</v>
      </c>
      <c r="D900" t="s">
        <v>927</v>
      </c>
      <c r="E900" t="s">
        <v>171</v>
      </c>
      <c r="F900" t="s">
        <v>3653</v>
      </c>
      <c r="G900" t="s">
        <v>3651</v>
      </c>
      <c r="H900" t="str">
        <f>"01227 949510"</f>
        <v>01227 949510</v>
      </c>
    </row>
    <row r="901" spans="1:8">
      <c r="A901" t="s">
        <v>3648</v>
      </c>
      <c r="B901" t="s">
        <v>3654</v>
      </c>
      <c r="D901" t="s">
        <v>3655</v>
      </c>
      <c r="F901" t="s">
        <v>3656</v>
      </c>
      <c r="G901" t="s">
        <v>3657</v>
      </c>
      <c r="H901" t="str">
        <f>"01304 204080"</f>
        <v>01304 204080</v>
      </c>
    </row>
    <row r="902" spans="1:8">
      <c r="A902" t="s">
        <v>3658</v>
      </c>
      <c r="B902" t="s">
        <v>3659</v>
      </c>
      <c r="C902" t="s">
        <v>3660</v>
      </c>
      <c r="D902" t="s">
        <v>14</v>
      </c>
      <c r="E902" t="s">
        <v>16</v>
      </c>
      <c r="F902" t="s">
        <v>3661</v>
      </c>
      <c r="G902" t="s">
        <v>3662</v>
      </c>
      <c r="H902" t="str">
        <f>"0330 124 7474"</f>
        <v>0330 124 7474</v>
      </c>
    </row>
    <row r="903" spans="1:8">
      <c r="A903" t="s">
        <v>3658</v>
      </c>
      <c r="B903" t="s">
        <v>3663</v>
      </c>
      <c r="C903" t="s">
        <v>3664</v>
      </c>
      <c r="D903" t="s">
        <v>57</v>
      </c>
      <c r="E903" t="s">
        <v>3665</v>
      </c>
      <c r="F903" t="s">
        <v>3666</v>
      </c>
      <c r="G903" t="s">
        <v>3667</v>
      </c>
      <c r="H903" t="str">
        <f>"0330 124 7474"</f>
        <v>0330 124 7474</v>
      </c>
    </row>
    <row r="904" spans="1:8">
      <c r="A904" t="s">
        <v>3668</v>
      </c>
      <c r="B904" t="s">
        <v>3669</v>
      </c>
      <c r="C904" t="s">
        <v>3670</v>
      </c>
      <c r="D904" t="s">
        <v>1435</v>
      </c>
      <c r="E904" t="s">
        <v>736</v>
      </c>
      <c r="F904" t="s">
        <v>3671</v>
      </c>
      <c r="G904" t="s">
        <v>3672</v>
      </c>
      <c r="H904" t="str">
        <f>"01268 590003"</f>
        <v>01268 590003</v>
      </c>
    </row>
    <row r="905" spans="1:8">
      <c r="A905" t="s">
        <v>3668</v>
      </c>
      <c r="B905" t="s">
        <v>3674</v>
      </c>
      <c r="C905" t="s">
        <v>495</v>
      </c>
      <c r="D905" t="s">
        <v>3673</v>
      </c>
      <c r="E905" t="s">
        <v>736</v>
      </c>
      <c r="F905" t="s">
        <v>3675</v>
      </c>
      <c r="G905" t="s">
        <v>3676</v>
      </c>
      <c r="H905" t="str">
        <f>"01277 363633"</f>
        <v>01277 363633</v>
      </c>
    </row>
    <row r="906" spans="1:8">
      <c r="A906" t="s">
        <v>3668</v>
      </c>
      <c r="B906" t="s">
        <v>3678</v>
      </c>
      <c r="C906" t="s">
        <v>3679</v>
      </c>
      <c r="D906" t="s">
        <v>3680</v>
      </c>
      <c r="E906" t="s">
        <v>736</v>
      </c>
      <c r="F906" t="s">
        <v>3681</v>
      </c>
      <c r="G906" t="s">
        <v>3676</v>
      </c>
      <c r="H906" t="str">
        <f>"01268 760380"</f>
        <v>01268 760380</v>
      </c>
    </row>
    <row r="907" spans="1:8">
      <c r="A907" t="s">
        <v>3668</v>
      </c>
      <c r="B907" t="s">
        <v>3682</v>
      </c>
      <c r="D907" t="s">
        <v>57</v>
      </c>
      <c r="E907" t="s">
        <v>486</v>
      </c>
      <c r="F907" t="s">
        <v>3683</v>
      </c>
      <c r="G907" t="s">
        <v>3676</v>
      </c>
      <c r="H907" t="str">
        <f>"0207 347 5031"</f>
        <v>0207 347 5031</v>
      </c>
    </row>
    <row r="908" spans="1:8">
      <c r="A908" t="s">
        <v>3668</v>
      </c>
      <c r="B908" t="s">
        <v>3684</v>
      </c>
      <c r="D908" t="s">
        <v>1445</v>
      </c>
      <c r="E908" t="s">
        <v>736</v>
      </c>
      <c r="F908" t="s">
        <v>3685</v>
      </c>
      <c r="G908" t="s">
        <v>3686</v>
      </c>
      <c r="H908" t="str">
        <f>"01268 590003"</f>
        <v>01268 590003</v>
      </c>
    </row>
    <row r="909" spans="1:8">
      <c r="A909" t="s">
        <v>3668</v>
      </c>
      <c r="B909" t="s">
        <v>3688</v>
      </c>
      <c r="D909" t="s">
        <v>3687</v>
      </c>
      <c r="E909" t="s">
        <v>736</v>
      </c>
      <c r="F909" t="s">
        <v>3689</v>
      </c>
      <c r="G909" t="s">
        <v>3690</v>
      </c>
      <c r="H909" t="str">
        <f>"01255 441525"</f>
        <v>01255 441525</v>
      </c>
    </row>
    <row r="910" spans="1:8">
      <c r="A910" t="s">
        <v>3691</v>
      </c>
      <c r="B910" t="s">
        <v>3692</v>
      </c>
      <c r="D910" t="s">
        <v>3693</v>
      </c>
      <c r="E910" t="s">
        <v>520</v>
      </c>
      <c r="F910" t="s">
        <v>3694</v>
      </c>
      <c r="G910" t="s">
        <v>3695</v>
      </c>
      <c r="H910" t="str">
        <f>"01892 662233"</f>
        <v>01892 662233</v>
      </c>
    </row>
    <row r="911" spans="1:8">
      <c r="A911" t="s">
        <v>3696</v>
      </c>
      <c r="B911" t="s">
        <v>3697</v>
      </c>
      <c r="D911" t="s">
        <v>3698</v>
      </c>
      <c r="E911" t="s">
        <v>67</v>
      </c>
      <c r="F911" t="s">
        <v>3699</v>
      </c>
      <c r="G911" t="s">
        <v>3700</v>
      </c>
      <c r="H911" t="str">
        <f>"01539 729786"</f>
        <v>01539 729786</v>
      </c>
    </row>
    <row r="912" spans="1:8">
      <c r="A912" t="s">
        <v>3696</v>
      </c>
      <c r="B912" t="s">
        <v>3701</v>
      </c>
      <c r="D912" t="s">
        <v>3702</v>
      </c>
      <c r="E912" t="s">
        <v>67</v>
      </c>
      <c r="F912" t="s">
        <v>3703</v>
      </c>
      <c r="G912" t="s">
        <v>3704</v>
      </c>
      <c r="H912" t="str">
        <f>"015395 62263"</f>
        <v>015395 62263</v>
      </c>
    </row>
    <row r="913" spans="1:8">
      <c r="A913" t="s">
        <v>3705</v>
      </c>
      <c r="B913" t="s">
        <v>3706</v>
      </c>
      <c r="D913" t="s">
        <v>3588</v>
      </c>
      <c r="E913" t="s">
        <v>410</v>
      </c>
      <c r="F913" t="s">
        <v>3707</v>
      </c>
      <c r="G913" t="s">
        <v>3708</v>
      </c>
      <c r="H913" t="str">
        <f>"01636 703333 "</f>
        <v xml:space="preserve">01636 703333 </v>
      </c>
    </row>
    <row r="914" spans="1:8">
      <c r="A914" t="s">
        <v>3705</v>
      </c>
      <c r="B914" t="s">
        <v>3709</v>
      </c>
      <c r="C914" t="s">
        <v>1213</v>
      </c>
      <c r="D914" t="s">
        <v>409</v>
      </c>
      <c r="E914" t="s">
        <v>410</v>
      </c>
      <c r="F914" t="s">
        <v>3710</v>
      </c>
      <c r="G914" t="s">
        <v>3708</v>
      </c>
      <c r="H914" t="str">
        <f>"0115 9815 800"</f>
        <v>0115 9815 800</v>
      </c>
    </row>
    <row r="915" spans="1:8">
      <c r="A915" t="s">
        <v>3711</v>
      </c>
      <c r="B915" t="s">
        <v>3712</v>
      </c>
      <c r="D915" t="s">
        <v>3713</v>
      </c>
      <c r="E915" t="s">
        <v>3714</v>
      </c>
      <c r="F915" t="s">
        <v>3715</v>
      </c>
      <c r="G915" t="s">
        <v>3716</v>
      </c>
      <c r="H915" t="str">
        <f>"01642 358012"</f>
        <v>01642 358012</v>
      </c>
    </row>
    <row r="916" spans="1:8">
      <c r="A916" t="s">
        <v>3711</v>
      </c>
      <c r="B916" t="s">
        <v>3717</v>
      </c>
      <c r="D916" t="s">
        <v>2075</v>
      </c>
      <c r="E916" t="s">
        <v>1352</v>
      </c>
      <c r="F916" t="s">
        <v>3718</v>
      </c>
      <c r="G916" t="s">
        <v>3719</v>
      </c>
      <c r="H916" t="str">
        <f>"01642 293 334"</f>
        <v>01642 293 334</v>
      </c>
    </row>
    <row r="917" spans="1:8">
      <c r="A917" t="s">
        <v>3711</v>
      </c>
      <c r="B917" t="s">
        <v>3720</v>
      </c>
      <c r="D917" t="s">
        <v>3523</v>
      </c>
      <c r="E917" t="s">
        <v>1487</v>
      </c>
      <c r="F917" t="s">
        <v>3721</v>
      </c>
      <c r="G917" t="s">
        <v>3719</v>
      </c>
      <c r="H917" t="str">
        <f>"01325 389800"</f>
        <v>01325 389800</v>
      </c>
    </row>
    <row r="918" spans="1:8">
      <c r="A918" t="s">
        <v>3722</v>
      </c>
      <c r="B918" t="s">
        <v>3723</v>
      </c>
      <c r="D918" t="s">
        <v>3407</v>
      </c>
      <c r="F918" t="s">
        <v>3724</v>
      </c>
      <c r="G918" t="s">
        <v>3725</v>
      </c>
      <c r="H918" t="str">
        <f>"0161 8652673"</f>
        <v>0161 8652673</v>
      </c>
    </row>
    <row r="919" spans="1:8">
      <c r="A919" t="s">
        <v>3726</v>
      </c>
      <c r="B919" t="s">
        <v>3727</v>
      </c>
      <c r="D919" t="s">
        <v>303</v>
      </c>
      <c r="E919" t="s">
        <v>1358</v>
      </c>
      <c r="F919" t="s">
        <v>3728</v>
      </c>
      <c r="G919" t="s">
        <v>3729</v>
      </c>
      <c r="H919" t="str">
        <f>"029 2022 9716"</f>
        <v>029 2022 9716</v>
      </c>
    </row>
    <row r="920" spans="1:8">
      <c r="A920" t="s">
        <v>3730</v>
      </c>
      <c r="B920" t="s">
        <v>3731</v>
      </c>
      <c r="D920" t="s">
        <v>552</v>
      </c>
      <c r="E920" t="s">
        <v>309</v>
      </c>
      <c r="F920" t="s">
        <v>3732</v>
      </c>
      <c r="G920" t="s">
        <v>3733</v>
      </c>
      <c r="H920" t="str">
        <f>"01752 671670"</f>
        <v>01752 671670</v>
      </c>
    </row>
    <row r="921" spans="1:8">
      <c r="A921" t="s">
        <v>3734</v>
      </c>
      <c r="B921" t="s">
        <v>3735</v>
      </c>
      <c r="C921" t="s">
        <v>3736</v>
      </c>
      <c r="D921" t="s">
        <v>741</v>
      </c>
      <c r="E921" t="s">
        <v>742</v>
      </c>
      <c r="F921" t="s">
        <v>3737</v>
      </c>
      <c r="G921" t="s">
        <v>3738</v>
      </c>
      <c r="H921" t="str">
        <f>"01603 693525"</f>
        <v>01603 693525</v>
      </c>
    </row>
    <row r="922" spans="1:8">
      <c r="A922" t="s">
        <v>3734</v>
      </c>
      <c r="B922" t="s">
        <v>3739</v>
      </c>
      <c r="D922" t="s">
        <v>3740</v>
      </c>
      <c r="E922" t="s">
        <v>742</v>
      </c>
      <c r="F922" t="s">
        <v>3741</v>
      </c>
      <c r="G922" t="s">
        <v>3738</v>
      </c>
      <c r="H922" t="str">
        <f>"01603 693525"</f>
        <v>01603 693525</v>
      </c>
    </row>
    <row r="923" spans="1:8">
      <c r="A923" t="s">
        <v>3734</v>
      </c>
      <c r="B923" t="s">
        <v>3743</v>
      </c>
      <c r="D923" t="s">
        <v>3742</v>
      </c>
      <c r="E923" t="s">
        <v>742</v>
      </c>
      <c r="F923" t="s">
        <v>3744</v>
      </c>
      <c r="G923" t="s">
        <v>3738</v>
      </c>
      <c r="H923" t="str">
        <f>"01603 693525"</f>
        <v>01603 693525</v>
      </c>
    </row>
    <row r="924" spans="1:8">
      <c r="A924" t="s">
        <v>3745</v>
      </c>
      <c r="B924" t="s">
        <v>3746</v>
      </c>
      <c r="D924" t="s">
        <v>3747</v>
      </c>
      <c r="F924" t="s">
        <v>3748</v>
      </c>
      <c r="G924" t="s">
        <v>3749</v>
      </c>
      <c r="H924" t="str">
        <f>"01584 810575"</f>
        <v>01584 810575</v>
      </c>
    </row>
    <row r="925" spans="1:8">
      <c r="A925" t="s">
        <v>3750</v>
      </c>
      <c r="B925" t="s">
        <v>3751</v>
      </c>
      <c r="C925" t="s">
        <v>57</v>
      </c>
      <c r="D925" t="s">
        <v>486</v>
      </c>
      <c r="F925" t="s">
        <v>3752</v>
      </c>
      <c r="G925" t="s">
        <v>3753</v>
      </c>
      <c r="H925" t="str">
        <f>"020 3004 7094"</f>
        <v>020 3004 7094</v>
      </c>
    </row>
    <row r="926" spans="1:8">
      <c r="A926" t="s">
        <v>3754</v>
      </c>
      <c r="B926" t="s">
        <v>3755</v>
      </c>
      <c r="D926" t="s">
        <v>3756</v>
      </c>
      <c r="E926" t="s">
        <v>340</v>
      </c>
      <c r="F926" t="s">
        <v>3757</v>
      </c>
      <c r="G926" t="s">
        <v>3758</v>
      </c>
      <c r="H926" t="str">
        <f>"0191 2970011"</f>
        <v>0191 2970011</v>
      </c>
    </row>
    <row r="927" spans="1:8">
      <c r="A927" t="s">
        <v>3759</v>
      </c>
      <c r="B927" t="s">
        <v>3760</v>
      </c>
      <c r="D927" t="s">
        <v>3761</v>
      </c>
      <c r="E927" t="s">
        <v>184</v>
      </c>
      <c r="F927" t="s">
        <v>3762</v>
      </c>
      <c r="G927" t="s">
        <v>3763</v>
      </c>
      <c r="H927" t="str">
        <f>"020 8367 3230"</f>
        <v>020 8367 3230</v>
      </c>
    </row>
    <row r="928" spans="1:8">
      <c r="A928" t="s">
        <v>3759</v>
      </c>
      <c r="B928" t="s">
        <v>3764</v>
      </c>
      <c r="C928" t="s">
        <v>2902</v>
      </c>
      <c r="D928" t="s">
        <v>57</v>
      </c>
      <c r="F928" t="s">
        <v>3765</v>
      </c>
      <c r="G928" t="s">
        <v>3766</v>
      </c>
      <c r="H928" t="str">
        <f>"02084464301"</f>
        <v>02084464301</v>
      </c>
    </row>
    <row r="929" spans="1:8">
      <c r="A929" t="s">
        <v>3759</v>
      </c>
      <c r="B929" t="s">
        <v>3767</v>
      </c>
      <c r="D929" t="s">
        <v>3190</v>
      </c>
      <c r="E929" t="s">
        <v>184</v>
      </c>
      <c r="F929" t="s">
        <v>3768</v>
      </c>
      <c r="G929" t="s">
        <v>3769</v>
      </c>
      <c r="H929" t="str">
        <f>"01992 817051"</f>
        <v>01992 817051</v>
      </c>
    </row>
    <row r="930" spans="1:8">
      <c r="A930" t="s">
        <v>3770</v>
      </c>
      <c r="B930" t="s">
        <v>254</v>
      </c>
      <c r="D930" t="s">
        <v>871</v>
      </c>
      <c r="E930" t="s">
        <v>121</v>
      </c>
      <c r="F930" t="s">
        <v>3771</v>
      </c>
      <c r="G930" t="s">
        <v>3772</v>
      </c>
      <c r="H930" t="str">
        <f>"01590 676933"</f>
        <v>01590 676933</v>
      </c>
    </row>
    <row r="931" spans="1:8">
      <c r="A931" t="s">
        <v>3770</v>
      </c>
      <c r="B931" t="s">
        <v>3773</v>
      </c>
      <c r="D931" t="s">
        <v>3774</v>
      </c>
      <c r="F931" t="s">
        <v>3775</v>
      </c>
      <c r="G931" t="s">
        <v>3776</v>
      </c>
      <c r="H931" t="str">
        <f>"02380010814"</f>
        <v>02380010814</v>
      </c>
    </row>
    <row r="932" spans="1:8">
      <c r="A932" t="s">
        <v>3777</v>
      </c>
      <c r="B932" t="s">
        <v>3778</v>
      </c>
      <c r="C932" t="s">
        <v>3779</v>
      </c>
      <c r="D932" t="s">
        <v>3474</v>
      </c>
      <c r="E932" t="s">
        <v>616</v>
      </c>
      <c r="F932" t="s">
        <v>3780</v>
      </c>
      <c r="G932" t="s">
        <v>3781</v>
      </c>
      <c r="H932" t="str">
        <f>"01723 866353"</f>
        <v>01723 866353</v>
      </c>
    </row>
    <row r="933" spans="1:8">
      <c r="A933" t="s">
        <v>3782</v>
      </c>
      <c r="B933" t="s">
        <v>3783</v>
      </c>
      <c r="D933" t="s">
        <v>3784</v>
      </c>
      <c r="F933" t="s">
        <v>3785</v>
      </c>
      <c r="G933" t="s">
        <v>3786</v>
      </c>
      <c r="H933" t="str">
        <f>"01833 600160"</f>
        <v>01833 600160</v>
      </c>
    </row>
    <row r="934" spans="1:8">
      <c r="A934" t="s">
        <v>3782</v>
      </c>
      <c r="B934" t="s">
        <v>1208</v>
      </c>
      <c r="C934" t="s">
        <v>3787</v>
      </c>
      <c r="D934" t="s">
        <v>616</v>
      </c>
      <c r="F934" t="s">
        <v>3788</v>
      </c>
      <c r="G934" t="s">
        <v>3786</v>
      </c>
      <c r="H934" t="str">
        <f>"01969 666290"</f>
        <v>01969 666290</v>
      </c>
    </row>
    <row r="935" spans="1:8">
      <c r="A935" t="s">
        <v>3782</v>
      </c>
      <c r="B935" t="s">
        <v>3790</v>
      </c>
      <c r="C935" t="s">
        <v>3789</v>
      </c>
      <c r="F935" t="s">
        <v>3791</v>
      </c>
      <c r="G935" t="s">
        <v>3786</v>
      </c>
      <c r="H935" t="str">
        <f>"015396 22340"</f>
        <v>015396 22340</v>
      </c>
    </row>
    <row r="936" spans="1:8">
      <c r="A936" t="s">
        <v>3782</v>
      </c>
      <c r="B936" t="s">
        <v>3793</v>
      </c>
      <c r="D936" t="s">
        <v>3792</v>
      </c>
      <c r="E936" t="s">
        <v>616</v>
      </c>
      <c r="F936" t="s">
        <v>3794</v>
      </c>
      <c r="G936" t="s">
        <v>3786</v>
      </c>
      <c r="H936" t="str">
        <f>"01969621230"</f>
        <v>01969621230</v>
      </c>
    </row>
    <row r="937" spans="1:8">
      <c r="A937" t="s">
        <v>3782</v>
      </c>
      <c r="B937" t="s">
        <v>3796</v>
      </c>
      <c r="C937" t="s">
        <v>3795</v>
      </c>
      <c r="D937" t="s">
        <v>2251</v>
      </c>
      <c r="F937" t="s">
        <v>3797</v>
      </c>
      <c r="G937" t="s">
        <v>3786</v>
      </c>
      <c r="H937" t="str">
        <f>"01756753015"</f>
        <v>01756753015</v>
      </c>
    </row>
    <row r="938" spans="1:8">
      <c r="A938" t="s">
        <v>3782</v>
      </c>
      <c r="B938" t="s">
        <v>3798</v>
      </c>
      <c r="D938" t="s">
        <v>3523</v>
      </c>
      <c r="F938" t="s">
        <v>3525</v>
      </c>
      <c r="G938" t="s">
        <v>3786</v>
      </c>
      <c r="H938" t="str">
        <f>"01325777000"</f>
        <v>01325777000</v>
      </c>
    </row>
    <row r="939" spans="1:8">
      <c r="A939" t="s">
        <v>3782</v>
      </c>
      <c r="B939" t="s">
        <v>3800</v>
      </c>
      <c r="D939" t="s">
        <v>3799</v>
      </c>
      <c r="F939" t="s">
        <v>3801</v>
      </c>
      <c r="G939" t="s">
        <v>3802</v>
      </c>
      <c r="H939" t="str">
        <f>"01388762564"</f>
        <v>01388762564</v>
      </c>
    </row>
    <row r="940" spans="1:8">
      <c r="A940" t="s">
        <v>3782</v>
      </c>
      <c r="B940" t="s">
        <v>3804</v>
      </c>
      <c r="D940" t="s">
        <v>3803</v>
      </c>
      <c r="F940" t="s">
        <v>3805</v>
      </c>
      <c r="G940" t="s">
        <v>3806</v>
      </c>
      <c r="H940" t="str">
        <f>"01388 603073"</f>
        <v>01388 603073</v>
      </c>
    </row>
    <row r="941" spans="1:8">
      <c r="A941" t="s">
        <v>3782</v>
      </c>
      <c r="B941" t="s">
        <v>3808</v>
      </c>
      <c r="D941" t="s">
        <v>3807</v>
      </c>
      <c r="F941" t="s">
        <v>3809</v>
      </c>
      <c r="G941" t="s">
        <v>3810</v>
      </c>
      <c r="H941" t="str">
        <f>"01388772661"</f>
        <v>01388772661</v>
      </c>
    </row>
    <row r="942" spans="1:8">
      <c r="A942" t="s">
        <v>3811</v>
      </c>
      <c r="B942" t="s">
        <v>3812</v>
      </c>
      <c r="D942" t="s">
        <v>615</v>
      </c>
      <c r="E942" t="s">
        <v>616</v>
      </c>
      <c r="F942" t="s">
        <v>3813</v>
      </c>
      <c r="G942" t="s">
        <v>3814</v>
      </c>
      <c r="H942" t="str">
        <f>"01904 716000"</f>
        <v>01904 716000</v>
      </c>
    </row>
    <row r="943" spans="1:8">
      <c r="A943" t="s">
        <v>3811</v>
      </c>
      <c r="B943" t="s">
        <v>3815</v>
      </c>
      <c r="D943" t="s">
        <v>677</v>
      </c>
      <c r="E943" t="s">
        <v>280</v>
      </c>
      <c r="F943" t="s">
        <v>3816</v>
      </c>
      <c r="G943" t="s">
        <v>3814</v>
      </c>
      <c r="H943" t="str">
        <f>"01937 583210"</f>
        <v>01937 583210</v>
      </c>
    </row>
    <row r="944" spans="1:8">
      <c r="A944" t="s">
        <v>3811</v>
      </c>
      <c r="B944" t="s">
        <v>3817</v>
      </c>
      <c r="D944" t="s">
        <v>3818</v>
      </c>
      <c r="E944" t="s">
        <v>616</v>
      </c>
      <c r="F944" t="s">
        <v>3819</v>
      </c>
      <c r="G944" t="s">
        <v>3814</v>
      </c>
      <c r="H944" t="str">
        <f>"01653 692247"</f>
        <v>01653 692247</v>
      </c>
    </row>
    <row r="945" spans="1:8">
      <c r="A945" t="s">
        <v>3820</v>
      </c>
      <c r="B945" t="s">
        <v>3821</v>
      </c>
      <c r="D945" t="s">
        <v>403</v>
      </c>
      <c r="E945" t="s">
        <v>184</v>
      </c>
      <c r="F945" t="s">
        <v>3822</v>
      </c>
      <c r="G945" t="s">
        <v>3823</v>
      </c>
      <c r="H945" t="str">
        <f>"01727 861 414"</f>
        <v>01727 861 414</v>
      </c>
    </row>
    <row r="946" spans="1:8">
      <c r="A946" t="s">
        <v>3824</v>
      </c>
      <c r="B946" t="s">
        <v>3825</v>
      </c>
      <c r="C946" t="s">
        <v>3826</v>
      </c>
      <c r="D946" t="s">
        <v>61</v>
      </c>
      <c r="F946" t="s">
        <v>3827</v>
      </c>
      <c r="G946" t="s">
        <v>3828</v>
      </c>
      <c r="H946" t="str">
        <f>"0117 970 7599"</f>
        <v>0117 970 7599</v>
      </c>
    </row>
    <row r="947" spans="1:8">
      <c r="A947" t="s">
        <v>3824</v>
      </c>
      <c r="B947" t="s">
        <v>3830</v>
      </c>
      <c r="C947" t="s">
        <v>3829</v>
      </c>
      <c r="D947" t="s">
        <v>61</v>
      </c>
      <c r="F947" t="s">
        <v>3831</v>
      </c>
      <c r="G947" t="s">
        <v>3832</v>
      </c>
      <c r="H947" t="str">
        <f>"0117 916 6600"</f>
        <v>0117 916 6600</v>
      </c>
    </row>
    <row r="948" spans="1:8">
      <c r="A948" t="s">
        <v>3824</v>
      </c>
      <c r="B948" t="s">
        <v>3833</v>
      </c>
      <c r="C948" t="s">
        <v>3834</v>
      </c>
      <c r="D948" t="s">
        <v>1965</v>
      </c>
      <c r="E948" t="s">
        <v>61</v>
      </c>
      <c r="F948" t="s">
        <v>3835</v>
      </c>
      <c r="G948" t="s">
        <v>3836</v>
      </c>
      <c r="H948" t="str">
        <f>"01454 611933"</f>
        <v>01454 611933</v>
      </c>
    </row>
    <row r="949" spans="1:8">
      <c r="A949" t="s">
        <v>3824</v>
      </c>
      <c r="B949" t="s">
        <v>3838</v>
      </c>
      <c r="C949" t="s">
        <v>3837</v>
      </c>
      <c r="D949" t="s">
        <v>61</v>
      </c>
      <c r="F949" t="s">
        <v>3839</v>
      </c>
      <c r="G949" t="s">
        <v>3840</v>
      </c>
      <c r="H949" t="str">
        <f>"0117 9417015"</f>
        <v>0117 9417015</v>
      </c>
    </row>
    <row r="950" spans="1:8">
      <c r="A950" t="s">
        <v>3824</v>
      </c>
      <c r="B950" t="s">
        <v>3841</v>
      </c>
      <c r="D950" t="s">
        <v>3842</v>
      </c>
      <c r="E950" t="s">
        <v>61</v>
      </c>
      <c r="F950" t="s">
        <v>3843</v>
      </c>
      <c r="G950" t="s">
        <v>3844</v>
      </c>
      <c r="H950" t="str">
        <f>"0117 9898000"</f>
        <v>0117 9898000</v>
      </c>
    </row>
    <row r="951" spans="1:8">
      <c r="A951" t="s">
        <v>3824</v>
      </c>
      <c r="B951" t="s">
        <v>3846</v>
      </c>
      <c r="D951" t="s">
        <v>3845</v>
      </c>
      <c r="E951" t="s">
        <v>464</v>
      </c>
      <c r="F951" t="s">
        <v>3847</v>
      </c>
      <c r="G951" t="s">
        <v>3848</v>
      </c>
      <c r="H951" t="str">
        <f>"01275 841 608"</f>
        <v>01275 841 608</v>
      </c>
    </row>
    <row r="952" spans="1:8">
      <c r="A952" t="s">
        <v>3824</v>
      </c>
      <c r="B952" t="s">
        <v>3849</v>
      </c>
      <c r="D952" t="s">
        <v>3850</v>
      </c>
      <c r="E952" t="s">
        <v>61</v>
      </c>
      <c r="F952" t="s">
        <v>3851</v>
      </c>
      <c r="G952" t="s">
        <v>3852</v>
      </c>
      <c r="H952" t="str">
        <f>"0117 2441064"</f>
        <v>0117 2441064</v>
      </c>
    </row>
    <row r="953" spans="1:8">
      <c r="A953" t="s">
        <v>3824</v>
      </c>
      <c r="B953" t="s">
        <v>3854</v>
      </c>
      <c r="C953" t="s">
        <v>3853</v>
      </c>
      <c r="D953" t="s">
        <v>61</v>
      </c>
      <c r="F953" t="s">
        <v>3855</v>
      </c>
      <c r="G953" t="s">
        <v>3856</v>
      </c>
      <c r="H953" t="str">
        <f>"0117 3704459"</f>
        <v>0117 3704459</v>
      </c>
    </row>
    <row r="954" spans="1:8">
      <c r="A954" t="s">
        <v>3857</v>
      </c>
      <c r="B954" t="s">
        <v>1491</v>
      </c>
      <c r="D954" t="s">
        <v>1372</v>
      </c>
      <c r="F954" t="s">
        <v>3858</v>
      </c>
      <c r="G954" t="s">
        <v>3859</v>
      </c>
      <c r="H954" t="str">
        <f>"01394 388411"</f>
        <v>01394 388411</v>
      </c>
    </row>
    <row r="955" spans="1:8">
      <c r="A955" t="s">
        <v>3857</v>
      </c>
      <c r="B955" t="s">
        <v>3860</v>
      </c>
      <c r="C955" t="s">
        <v>1208</v>
      </c>
      <c r="D955" t="s">
        <v>3861</v>
      </c>
      <c r="F955" t="s">
        <v>3862</v>
      </c>
      <c r="G955" t="s">
        <v>3863</v>
      </c>
      <c r="H955" t="str">
        <f>"01728 602323"</f>
        <v>01728 602323</v>
      </c>
    </row>
    <row r="956" spans="1:8">
      <c r="A956" t="s">
        <v>3864</v>
      </c>
      <c r="B956" t="s">
        <v>3865</v>
      </c>
      <c r="D956" t="s">
        <v>1426</v>
      </c>
      <c r="E956" t="s">
        <v>3490</v>
      </c>
      <c r="F956" t="s">
        <v>3866</v>
      </c>
      <c r="G956" t="s">
        <v>3867</v>
      </c>
      <c r="H956" t="str">
        <f>"01482 228808"</f>
        <v>01482 228808</v>
      </c>
    </row>
    <row r="957" spans="1:8">
      <c r="A957" t="s">
        <v>3864</v>
      </c>
      <c r="B957" t="s">
        <v>3868</v>
      </c>
      <c r="C957" t="s">
        <v>3869</v>
      </c>
      <c r="D957" t="s">
        <v>1888</v>
      </c>
      <c r="E957" t="s">
        <v>3490</v>
      </c>
      <c r="F957" t="s">
        <v>3870</v>
      </c>
      <c r="G957" t="s">
        <v>3867</v>
      </c>
      <c r="H957" t="str">
        <f>"01964 537856"</f>
        <v>01964 537856</v>
      </c>
    </row>
    <row r="958" spans="1:8">
      <c r="A958" t="s">
        <v>3871</v>
      </c>
      <c r="B958" t="s">
        <v>3872</v>
      </c>
      <c r="D958" t="s">
        <v>57</v>
      </c>
      <c r="F958" t="s">
        <v>3873</v>
      </c>
      <c r="G958" t="s">
        <v>3874</v>
      </c>
      <c r="H958" t="str">
        <f>"0207 4834411"</f>
        <v>0207 4834411</v>
      </c>
    </row>
    <row r="959" spans="1:8">
      <c r="A959" t="s">
        <v>3875</v>
      </c>
      <c r="B959" t="s">
        <v>3876</v>
      </c>
      <c r="D959" t="s">
        <v>1481</v>
      </c>
      <c r="E959" t="s">
        <v>3261</v>
      </c>
      <c r="F959" t="s">
        <v>3877</v>
      </c>
      <c r="G959" t="s">
        <v>3878</v>
      </c>
      <c r="H959" t="str">
        <f>"01752 690123"</f>
        <v>01752 690123</v>
      </c>
    </row>
    <row r="960" spans="1:8">
      <c r="A960" t="s">
        <v>3875</v>
      </c>
      <c r="B960" t="s">
        <v>3879</v>
      </c>
      <c r="C960" t="s">
        <v>3880</v>
      </c>
      <c r="D960" t="s">
        <v>552</v>
      </c>
      <c r="E960" t="s">
        <v>309</v>
      </c>
      <c r="F960" t="s">
        <v>3881</v>
      </c>
      <c r="G960" t="s">
        <v>3878</v>
      </c>
      <c r="H960" t="str">
        <f>"01752 556606"</f>
        <v>01752 556606</v>
      </c>
    </row>
    <row r="961" spans="1:8">
      <c r="A961" t="s">
        <v>3875</v>
      </c>
      <c r="B961" t="s">
        <v>3883</v>
      </c>
      <c r="D961" t="s">
        <v>3882</v>
      </c>
      <c r="F961" t="s">
        <v>3884</v>
      </c>
      <c r="G961" t="s">
        <v>3885</v>
      </c>
      <c r="H961" t="str">
        <f>"01626 241097"</f>
        <v>01626 241097</v>
      </c>
    </row>
    <row r="962" spans="1:8">
      <c r="A962" t="s">
        <v>3886</v>
      </c>
      <c r="B962" t="s">
        <v>3887</v>
      </c>
      <c r="D962" t="s">
        <v>286</v>
      </c>
      <c r="E962" t="s">
        <v>1033</v>
      </c>
      <c r="F962" t="s">
        <v>3888</v>
      </c>
      <c r="G962" t="s">
        <v>3889</v>
      </c>
      <c r="H962" t="str">
        <f>"01246 211006"</f>
        <v>01246 211006</v>
      </c>
    </row>
    <row r="963" spans="1:8">
      <c r="A963" t="s">
        <v>3890</v>
      </c>
      <c r="B963" t="s">
        <v>3891</v>
      </c>
      <c r="D963" t="s">
        <v>2747</v>
      </c>
      <c r="E963" t="s">
        <v>280</v>
      </c>
      <c r="F963" t="s">
        <v>3892</v>
      </c>
      <c r="G963" t="s">
        <v>3893</v>
      </c>
      <c r="H963" t="str">
        <f>"01274 874231"</f>
        <v>01274 874231</v>
      </c>
    </row>
    <row r="964" spans="1:8">
      <c r="A964" t="s">
        <v>3894</v>
      </c>
      <c r="B964" t="s">
        <v>3895</v>
      </c>
      <c r="D964" t="s">
        <v>590</v>
      </c>
      <c r="E964" t="s">
        <v>200</v>
      </c>
      <c r="F964" t="s">
        <v>3896</v>
      </c>
      <c r="G964" t="s">
        <v>3897</v>
      </c>
      <c r="H964" t="str">
        <f>"0208 641 2771"</f>
        <v>0208 641 2771</v>
      </c>
    </row>
    <row r="965" spans="1:8">
      <c r="A965" t="s">
        <v>3898</v>
      </c>
      <c r="B965" t="s">
        <v>3899</v>
      </c>
      <c r="C965" t="s">
        <v>3900</v>
      </c>
      <c r="D965" t="s">
        <v>120</v>
      </c>
      <c r="E965" t="s">
        <v>121</v>
      </c>
      <c r="F965" t="s">
        <v>3901</v>
      </c>
      <c r="G965" t="s">
        <v>3902</v>
      </c>
      <c r="H965" t="str">
        <f>"01489 865170"</f>
        <v>01489 865170</v>
      </c>
    </row>
    <row r="966" spans="1:8">
      <c r="A966" t="s">
        <v>3903</v>
      </c>
      <c r="B966" t="s">
        <v>3904</v>
      </c>
      <c r="D966" t="s">
        <v>3905</v>
      </c>
      <c r="E966" t="s">
        <v>569</v>
      </c>
      <c r="F966" t="s">
        <v>3906</v>
      </c>
      <c r="G966" t="s">
        <v>3907</v>
      </c>
      <c r="H966" t="str">
        <f>"01253 626793"</f>
        <v>01253 626793</v>
      </c>
    </row>
    <row r="967" spans="1:8">
      <c r="A967" t="s">
        <v>3908</v>
      </c>
      <c r="B967" t="s">
        <v>3909</v>
      </c>
      <c r="C967" t="s">
        <v>3910</v>
      </c>
      <c r="D967" t="s">
        <v>14</v>
      </c>
      <c r="E967" t="s">
        <v>16</v>
      </c>
      <c r="F967" t="s">
        <v>3911</v>
      </c>
      <c r="G967" t="s">
        <v>3912</v>
      </c>
      <c r="H967" t="str">
        <f>"0121 357 2143"</f>
        <v>0121 357 2143</v>
      </c>
    </row>
    <row r="968" spans="1:8">
      <c r="A968" t="s">
        <v>3913</v>
      </c>
      <c r="B968" t="s">
        <v>3914</v>
      </c>
      <c r="D968" t="s">
        <v>3915</v>
      </c>
      <c r="E968" t="s">
        <v>3916</v>
      </c>
      <c r="F968" t="s">
        <v>3917</v>
      </c>
      <c r="G968" t="s">
        <v>3918</v>
      </c>
      <c r="H968" t="str">
        <f>"01745 812835"</f>
        <v>01745 812835</v>
      </c>
    </row>
    <row r="969" spans="1:8">
      <c r="A969" t="s">
        <v>3913</v>
      </c>
      <c r="B969" t="s">
        <v>3919</v>
      </c>
      <c r="D969" t="s">
        <v>3920</v>
      </c>
      <c r="E969" t="s">
        <v>3916</v>
      </c>
      <c r="F969" t="s">
        <v>3921</v>
      </c>
      <c r="G969" t="s">
        <v>3918</v>
      </c>
      <c r="H969" t="str">
        <f>"01745 582535"</f>
        <v>01745 582535</v>
      </c>
    </row>
    <row r="970" spans="1:8">
      <c r="A970" t="s">
        <v>3913</v>
      </c>
      <c r="B970" t="s">
        <v>3922</v>
      </c>
      <c r="C970" t="s">
        <v>3923</v>
      </c>
      <c r="D970" t="s">
        <v>3924</v>
      </c>
      <c r="F970" t="s">
        <v>3925</v>
      </c>
      <c r="G970" t="s">
        <v>3926</v>
      </c>
      <c r="H970" t="str">
        <f>"01492 876271"</f>
        <v>01492 876271</v>
      </c>
    </row>
    <row r="971" spans="1:8">
      <c r="A971" t="s">
        <v>3913</v>
      </c>
      <c r="B971" t="s">
        <v>3927</v>
      </c>
      <c r="D971" t="s">
        <v>3928</v>
      </c>
      <c r="E971" t="s">
        <v>3916</v>
      </c>
      <c r="F971" t="s">
        <v>3929</v>
      </c>
      <c r="G971" t="s">
        <v>3926</v>
      </c>
      <c r="H971" t="str">
        <f>"01824 703833"</f>
        <v>01824 703833</v>
      </c>
    </row>
    <row r="972" spans="1:8">
      <c r="A972" t="s">
        <v>3913</v>
      </c>
      <c r="B972" t="s">
        <v>3931</v>
      </c>
      <c r="D972" t="s">
        <v>3930</v>
      </c>
      <c r="E972" t="s">
        <v>3932</v>
      </c>
      <c r="F972" t="s">
        <v>3933</v>
      </c>
      <c r="G972" t="s">
        <v>3926</v>
      </c>
      <c r="H972" t="str">
        <f>"01352871960"</f>
        <v>01352871960</v>
      </c>
    </row>
    <row r="973" spans="1:8">
      <c r="A973" t="s">
        <v>3934</v>
      </c>
      <c r="B973" t="s">
        <v>3935</v>
      </c>
      <c r="D973" t="s">
        <v>1198</v>
      </c>
      <c r="E973" t="s">
        <v>1200</v>
      </c>
      <c r="F973" t="s">
        <v>3936</v>
      </c>
      <c r="G973" t="s">
        <v>3937</v>
      </c>
      <c r="H973" t="str">
        <f>"01926 422101"</f>
        <v>01926 422101</v>
      </c>
    </row>
    <row r="974" spans="1:8">
      <c r="A974" t="s">
        <v>3934</v>
      </c>
      <c r="B974" t="s">
        <v>3939</v>
      </c>
      <c r="D974" t="s">
        <v>3938</v>
      </c>
      <c r="E974" t="s">
        <v>3940</v>
      </c>
      <c r="F974" t="s">
        <v>3941</v>
      </c>
      <c r="G974" t="s">
        <v>3937</v>
      </c>
      <c r="H974" t="str">
        <f>"02476225034"</f>
        <v>02476225034</v>
      </c>
    </row>
    <row r="975" spans="1:8">
      <c r="A975" t="s">
        <v>3942</v>
      </c>
      <c r="B975" t="s">
        <v>3943</v>
      </c>
      <c r="D975" t="s">
        <v>3944</v>
      </c>
      <c r="E975" t="s">
        <v>309</v>
      </c>
      <c r="F975" t="s">
        <v>3945</v>
      </c>
      <c r="G975" t="s">
        <v>3946</v>
      </c>
      <c r="H975" t="str">
        <f>"01237 427522"</f>
        <v>01237 427522</v>
      </c>
    </row>
    <row r="976" spans="1:8">
      <c r="A976" t="s">
        <v>3942</v>
      </c>
      <c r="B976" t="s">
        <v>3947</v>
      </c>
      <c r="D976" t="s">
        <v>1648</v>
      </c>
      <c r="E976" t="s">
        <v>309</v>
      </c>
      <c r="F976" t="s">
        <v>3948</v>
      </c>
      <c r="G976" t="s">
        <v>3949</v>
      </c>
      <c r="H976" t="str">
        <f>"01237 472666"</f>
        <v>01237 472666</v>
      </c>
    </row>
    <row r="977" spans="1:8">
      <c r="A977" t="s">
        <v>3942</v>
      </c>
      <c r="B977" t="s">
        <v>3950</v>
      </c>
      <c r="D977" t="s">
        <v>3951</v>
      </c>
      <c r="E977" t="s">
        <v>309</v>
      </c>
      <c r="F977" t="s">
        <v>3952</v>
      </c>
      <c r="G977" t="s">
        <v>3946</v>
      </c>
      <c r="H977" t="str">
        <f>"01271812033"</f>
        <v>01271812033</v>
      </c>
    </row>
    <row r="978" spans="1:8">
      <c r="A978" t="s">
        <v>3953</v>
      </c>
      <c r="B978" t="s">
        <v>3954</v>
      </c>
      <c r="D978" t="s">
        <v>2075</v>
      </c>
      <c r="E978" t="s">
        <v>1352</v>
      </c>
      <c r="F978" t="s">
        <v>3955</v>
      </c>
      <c r="G978" t="s">
        <v>3956</v>
      </c>
      <c r="H978" t="str">
        <f>"01642 487011"</f>
        <v>01642 487011</v>
      </c>
    </row>
    <row r="979" spans="1:8">
      <c r="A979" t="s">
        <v>3957</v>
      </c>
      <c r="B979" t="s">
        <v>3958</v>
      </c>
      <c r="D979" t="s">
        <v>3959</v>
      </c>
      <c r="E979" t="s">
        <v>236</v>
      </c>
      <c r="F979" t="s">
        <v>3960</v>
      </c>
      <c r="G979" t="s">
        <v>3961</v>
      </c>
      <c r="H979" t="str">
        <f>"01543 414100"</f>
        <v>01543 414100</v>
      </c>
    </row>
    <row r="980" spans="1:8">
      <c r="A980" t="s">
        <v>3962</v>
      </c>
      <c r="B980" t="s">
        <v>3963</v>
      </c>
      <c r="C980" t="s">
        <v>3964</v>
      </c>
      <c r="D980" t="s">
        <v>3965</v>
      </c>
      <c r="E980" t="s">
        <v>1358</v>
      </c>
      <c r="F980" t="s">
        <v>3966</v>
      </c>
      <c r="G980" t="s">
        <v>3967</v>
      </c>
      <c r="H980" t="str">
        <f>"02920 093600"</f>
        <v>02920 093600</v>
      </c>
    </row>
    <row r="981" spans="1:8">
      <c r="A981" t="s">
        <v>3962</v>
      </c>
      <c r="B981" t="s">
        <v>3968</v>
      </c>
      <c r="C981" t="s">
        <v>3826</v>
      </c>
      <c r="D981" t="s">
        <v>61</v>
      </c>
      <c r="E981" t="s">
        <v>1956</v>
      </c>
      <c r="F981" t="s">
        <v>3969</v>
      </c>
      <c r="G981" t="s">
        <v>3967</v>
      </c>
      <c r="H981" t="str">
        <f>"01179 256257"</f>
        <v>01179 256257</v>
      </c>
    </row>
    <row r="982" spans="1:8">
      <c r="A982" t="s">
        <v>3970</v>
      </c>
      <c r="B982" t="s">
        <v>3971</v>
      </c>
      <c r="D982" t="s">
        <v>217</v>
      </c>
      <c r="F982" t="s">
        <v>3972</v>
      </c>
      <c r="G982" t="s">
        <v>3973</v>
      </c>
      <c r="H982" t="str">
        <f>"02074311912"</f>
        <v>02074311912</v>
      </c>
    </row>
    <row r="983" spans="1:8">
      <c r="A983" t="s">
        <v>3974</v>
      </c>
      <c r="B983" t="s">
        <v>3975</v>
      </c>
      <c r="D983" t="s">
        <v>286</v>
      </c>
      <c r="E983" t="s">
        <v>1033</v>
      </c>
      <c r="F983" t="s">
        <v>3976</v>
      </c>
      <c r="G983" t="s">
        <v>3977</v>
      </c>
      <c r="H983" t="str">
        <f>"01246 220737"</f>
        <v>01246 220737</v>
      </c>
    </row>
    <row r="984" spans="1:8">
      <c r="A984" t="s">
        <v>3978</v>
      </c>
      <c r="B984" t="s">
        <v>3979</v>
      </c>
      <c r="D984" t="s">
        <v>235</v>
      </c>
      <c r="E984" t="s">
        <v>3980</v>
      </c>
      <c r="F984" t="s">
        <v>3981</v>
      </c>
      <c r="G984" t="s">
        <v>3982</v>
      </c>
      <c r="H984" t="str">
        <f>"01785 211411"</f>
        <v>01785 211411</v>
      </c>
    </row>
    <row r="985" spans="1:8">
      <c r="A985" t="s">
        <v>3978</v>
      </c>
      <c r="B985" t="s">
        <v>3983</v>
      </c>
      <c r="D985" t="s">
        <v>3984</v>
      </c>
      <c r="E985" t="s">
        <v>236</v>
      </c>
      <c r="F985" t="s">
        <v>3985</v>
      </c>
      <c r="G985" t="s">
        <v>3982</v>
      </c>
      <c r="H985" t="str">
        <f>"01889 583871"</f>
        <v>01889 583871</v>
      </c>
    </row>
    <row r="986" spans="1:8">
      <c r="A986" t="s">
        <v>3986</v>
      </c>
      <c r="B986" t="s">
        <v>3987</v>
      </c>
      <c r="D986" t="s">
        <v>396</v>
      </c>
      <c r="E986" t="s">
        <v>397</v>
      </c>
      <c r="F986" t="s">
        <v>3988</v>
      </c>
      <c r="G986" t="s">
        <v>3989</v>
      </c>
      <c r="H986" t="str">
        <f>"01582418308"</f>
        <v>01582418308</v>
      </c>
    </row>
    <row r="987" spans="1:8">
      <c r="A987" t="s">
        <v>3990</v>
      </c>
      <c r="B987" t="s">
        <v>3991</v>
      </c>
      <c r="D987" t="s">
        <v>1697</v>
      </c>
      <c r="E987" t="s">
        <v>736</v>
      </c>
      <c r="F987" t="s">
        <v>3992</v>
      </c>
      <c r="G987" t="s">
        <v>3993</v>
      </c>
      <c r="H987" t="str">
        <f>"01992 578642"</f>
        <v>01992 578642</v>
      </c>
    </row>
    <row r="988" spans="1:8">
      <c r="A988" t="s">
        <v>3990</v>
      </c>
      <c r="B988" t="s">
        <v>3995</v>
      </c>
      <c r="D988" t="s">
        <v>3994</v>
      </c>
      <c r="E988" t="s">
        <v>736</v>
      </c>
      <c r="F988" t="s">
        <v>3996</v>
      </c>
      <c r="G988" t="s">
        <v>3993</v>
      </c>
      <c r="H988" t="str">
        <f>"020 8502 3391"</f>
        <v>020 8502 3391</v>
      </c>
    </row>
    <row r="989" spans="1:8">
      <c r="A989" t="s">
        <v>3997</v>
      </c>
      <c r="B989" t="s">
        <v>3998</v>
      </c>
      <c r="D989" t="s">
        <v>766</v>
      </c>
      <c r="E989" t="s">
        <v>132</v>
      </c>
      <c r="F989" t="s">
        <v>3999</v>
      </c>
      <c r="G989" t="s">
        <v>4000</v>
      </c>
      <c r="H989" t="str">
        <f>"01204 540900"</f>
        <v>01204 540900</v>
      </c>
    </row>
    <row r="990" spans="1:8">
      <c r="A990" t="s">
        <v>3997</v>
      </c>
      <c r="B990" t="s">
        <v>4001</v>
      </c>
      <c r="C990" t="s">
        <v>3384</v>
      </c>
      <c r="D990" t="s">
        <v>297</v>
      </c>
      <c r="E990" t="s">
        <v>132</v>
      </c>
      <c r="F990" t="s">
        <v>3386</v>
      </c>
      <c r="G990" t="s">
        <v>4002</v>
      </c>
      <c r="H990" t="str">
        <f>"0161 834 4722"</f>
        <v>0161 834 4722</v>
      </c>
    </row>
    <row r="991" spans="1:8">
      <c r="A991" t="s">
        <v>4003</v>
      </c>
      <c r="B991" t="s">
        <v>4004</v>
      </c>
      <c r="D991" t="s">
        <v>4005</v>
      </c>
      <c r="E991" t="s">
        <v>16</v>
      </c>
      <c r="F991" t="s">
        <v>4006</v>
      </c>
      <c r="G991" t="s">
        <v>4007</v>
      </c>
      <c r="H991" t="str">
        <f>"01922 616916"</f>
        <v>01922 616916</v>
      </c>
    </row>
    <row r="992" spans="1:8">
      <c r="A992" t="s">
        <v>4008</v>
      </c>
      <c r="B992" t="s">
        <v>4009</v>
      </c>
      <c r="D992" t="s">
        <v>334</v>
      </c>
      <c r="E992" t="s">
        <v>121</v>
      </c>
      <c r="F992" t="s">
        <v>4010</v>
      </c>
      <c r="G992" t="s">
        <v>4011</v>
      </c>
      <c r="H992" t="str">
        <f>"01256 473013"</f>
        <v>01256 473013</v>
      </c>
    </row>
    <row r="993" spans="1:8">
      <c r="A993" t="s">
        <v>4008</v>
      </c>
      <c r="B993" t="s">
        <v>4012</v>
      </c>
      <c r="D993" t="s">
        <v>2295</v>
      </c>
      <c r="E993" t="s">
        <v>121</v>
      </c>
      <c r="F993" t="s">
        <v>2297</v>
      </c>
      <c r="G993" t="s">
        <v>4011</v>
      </c>
      <c r="H993" t="str">
        <f>"01252 811070"</f>
        <v>01252 811070</v>
      </c>
    </row>
    <row r="994" spans="1:8">
      <c r="A994" t="s">
        <v>4013</v>
      </c>
      <c r="B994" t="s">
        <v>4014</v>
      </c>
      <c r="D994" t="s">
        <v>677</v>
      </c>
      <c r="E994" t="s">
        <v>280</v>
      </c>
      <c r="F994" t="s">
        <v>4015</v>
      </c>
      <c r="G994" t="s">
        <v>4016</v>
      </c>
      <c r="H994" t="str">
        <f>"01937 547000"</f>
        <v>01937 547000</v>
      </c>
    </row>
    <row r="995" spans="1:8">
      <c r="A995" t="s">
        <v>4017</v>
      </c>
      <c r="B995" t="s">
        <v>4018</v>
      </c>
      <c r="C995" t="s">
        <v>4019</v>
      </c>
      <c r="D995" t="s">
        <v>217</v>
      </c>
      <c r="F995" t="s">
        <v>4020</v>
      </c>
      <c r="G995" t="s">
        <v>4021</v>
      </c>
      <c r="H995" t="str">
        <f>"0207 908 2525"</f>
        <v>0207 908 2525</v>
      </c>
    </row>
    <row r="996" spans="1:8">
      <c r="A996" t="s">
        <v>4022</v>
      </c>
      <c r="B996" t="s">
        <v>4023</v>
      </c>
      <c r="D996" t="s">
        <v>490</v>
      </c>
      <c r="E996" t="s">
        <v>236</v>
      </c>
      <c r="F996" t="s">
        <v>4024</v>
      </c>
      <c r="G996" t="s">
        <v>4025</v>
      </c>
      <c r="H996" t="str">
        <f>"01538 399199"</f>
        <v>01538 399199</v>
      </c>
    </row>
    <row r="997" spans="1:8">
      <c r="A997" t="s">
        <v>4022</v>
      </c>
      <c r="B997" t="s">
        <v>4026</v>
      </c>
      <c r="C997" t="s">
        <v>4027</v>
      </c>
      <c r="D997" t="s">
        <v>4028</v>
      </c>
      <c r="E997" t="s">
        <v>236</v>
      </c>
      <c r="F997" t="s">
        <v>4029</v>
      </c>
      <c r="G997" t="s">
        <v>4025</v>
      </c>
      <c r="H997" t="str">
        <f>"01782 200000"</f>
        <v>01782 200000</v>
      </c>
    </row>
    <row r="998" spans="1:8">
      <c r="A998" t="s">
        <v>4022</v>
      </c>
      <c r="B998" t="s">
        <v>4030</v>
      </c>
      <c r="D998" t="s">
        <v>2552</v>
      </c>
      <c r="E998" t="s">
        <v>236</v>
      </c>
      <c r="F998" t="s">
        <v>4031</v>
      </c>
      <c r="G998" t="s">
        <v>4025</v>
      </c>
      <c r="H998" t="str">
        <f>"01889 598888"</f>
        <v>01889 598888</v>
      </c>
    </row>
    <row r="999" spans="1:8">
      <c r="A999" t="s">
        <v>4022</v>
      </c>
      <c r="B999" t="s">
        <v>4033</v>
      </c>
      <c r="D999" t="s">
        <v>4032</v>
      </c>
      <c r="E999" t="s">
        <v>236</v>
      </c>
      <c r="F999" t="s">
        <v>4034</v>
      </c>
      <c r="G999" t="s">
        <v>4025</v>
      </c>
      <c r="H999" t="str">
        <f>"01785 339514"</f>
        <v>01785 339514</v>
      </c>
    </row>
    <row r="1000" spans="1:8">
      <c r="A1000" t="s">
        <v>4035</v>
      </c>
      <c r="B1000" t="s">
        <v>4036</v>
      </c>
      <c r="C1000" t="s">
        <v>4037</v>
      </c>
      <c r="D1000" t="s">
        <v>3573</v>
      </c>
      <c r="E1000" t="s">
        <v>2281</v>
      </c>
      <c r="F1000" t="s">
        <v>4038</v>
      </c>
      <c r="G1000" t="s">
        <v>4039</v>
      </c>
      <c r="H1000" t="str">
        <f>"01736 362362"</f>
        <v>01736 362362</v>
      </c>
    </row>
    <row r="1001" spans="1:8">
      <c r="A1001" t="s">
        <v>4035</v>
      </c>
      <c r="B1001" t="s">
        <v>4041</v>
      </c>
      <c r="C1001" t="s">
        <v>4042</v>
      </c>
      <c r="D1001" t="s">
        <v>4040</v>
      </c>
      <c r="E1001" t="s">
        <v>2281</v>
      </c>
      <c r="F1001" t="s">
        <v>4043</v>
      </c>
      <c r="G1001" t="s">
        <v>4039</v>
      </c>
      <c r="H1001" t="str">
        <f>"01736 362362"</f>
        <v>01736 362362</v>
      </c>
    </row>
    <row r="1002" spans="1:8">
      <c r="A1002" t="s">
        <v>4035</v>
      </c>
      <c r="B1002" t="s">
        <v>4045</v>
      </c>
      <c r="C1002" t="s">
        <v>4046</v>
      </c>
      <c r="D1002" t="s">
        <v>4044</v>
      </c>
      <c r="E1002" t="s">
        <v>2281</v>
      </c>
      <c r="F1002" t="s">
        <v>4047</v>
      </c>
      <c r="G1002" t="s">
        <v>4039</v>
      </c>
      <c r="H1002" t="str">
        <f>"01736 362362"</f>
        <v>01736 362362</v>
      </c>
    </row>
    <row r="1003" spans="1:8">
      <c r="A1003" t="s">
        <v>4048</v>
      </c>
      <c r="B1003" t="s">
        <v>4049</v>
      </c>
      <c r="D1003" t="s">
        <v>4050</v>
      </c>
      <c r="E1003" t="s">
        <v>4051</v>
      </c>
      <c r="F1003" t="s">
        <v>4052</v>
      </c>
      <c r="G1003" t="s">
        <v>4053</v>
      </c>
      <c r="H1003" t="str">
        <f>"01495 350018"</f>
        <v>01495 350018</v>
      </c>
    </row>
    <row r="1004" spans="1:8">
      <c r="A1004" t="s">
        <v>4054</v>
      </c>
      <c r="B1004" t="s">
        <v>4055</v>
      </c>
      <c r="C1004" t="s">
        <v>4056</v>
      </c>
      <c r="D1004" t="s">
        <v>4057</v>
      </c>
      <c r="E1004" t="s">
        <v>4058</v>
      </c>
      <c r="F1004" t="s">
        <v>4059</v>
      </c>
      <c r="G1004" t="s">
        <v>4060</v>
      </c>
      <c r="H1004" t="str">
        <f>"020 8447 3277"</f>
        <v>020 8447 3277</v>
      </c>
    </row>
    <row r="1005" spans="1:8">
      <c r="A1005" t="s">
        <v>4054</v>
      </c>
      <c r="B1005" t="s">
        <v>4061</v>
      </c>
      <c r="D1005" t="s">
        <v>4062</v>
      </c>
      <c r="E1005" t="s">
        <v>184</v>
      </c>
      <c r="F1005" t="s">
        <v>4063</v>
      </c>
      <c r="G1005" t="s">
        <v>4060</v>
      </c>
      <c r="H1005" t="str">
        <f>"0208 447 3277"</f>
        <v>0208 447 3277</v>
      </c>
    </row>
    <row r="1006" spans="1:8">
      <c r="A1006" t="s">
        <v>4064</v>
      </c>
      <c r="B1006" t="s">
        <v>4065</v>
      </c>
      <c r="C1006" t="s">
        <v>4066</v>
      </c>
      <c r="D1006" t="s">
        <v>2005</v>
      </c>
      <c r="E1006" t="s">
        <v>2006</v>
      </c>
      <c r="F1006" t="s">
        <v>4067</v>
      </c>
      <c r="G1006" t="s">
        <v>4068</v>
      </c>
      <c r="H1006" t="str">
        <f>"0208 566 1200"</f>
        <v>0208 566 1200</v>
      </c>
    </row>
    <row r="1007" spans="1:8">
      <c r="A1007" t="s">
        <v>4069</v>
      </c>
      <c r="B1007" t="s">
        <v>4070</v>
      </c>
      <c r="D1007" t="s">
        <v>4071</v>
      </c>
      <c r="F1007" t="s">
        <v>4072</v>
      </c>
      <c r="G1007" t="s">
        <v>4073</v>
      </c>
      <c r="H1007" t="str">
        <f>"01274 851608"</f>
        <v>01274 851608</v>
      </c>
    </row>
    <row r="1008" spans="1:8">
      <c r="A1008" t="s">
        <v>4069</v>
      </c>
      <c r="B1008" t="s">
        <v>4074</v>
      </c>
      <c r="C1008" t="s">
        <v>4075</v>
      </c>
      <c r="D1008" t="s">
        <v>1256</v>
      </c>
      <c r="F1008" t="s">
        <v>4076</v>
      </c>
      <c r="G1008" t="s">
        <v>4073</v>
      </c>
      <c r="H1008" t="str">
        <f>"01484 905265"</f>
        <v>01484 905265</v>
      </c>
    </row>
    <row r="1009" spans="1:8">
      <c r="A1009" t="s">
        <v>4069</v>
      </c>
      <c r="B1009" t="s">
        <v>4077</v>
      </c>
      <c r="D1009" t="s">
        <v>326</v>
      </c>
      <c r="F1009" t="s">
        <v>4078</v>
      </c>
      <c r="G1009" t="s">
        <v>4073</v>
      </c>
      <c r="H1009" t="str">
        <f>"01924 562 228"</f>
        <v>01924 562 228</v>
      </c>
    </row>
    <row r="1010" spans="1:8">
      <c r="A1010" t="s">
        <v>4079</v>
      </c>
      <c r="B1010" t="s">
        <v>4080</v>
      </c>
      <c r="D1010" t="s">
        <v>1665</v>
      </c>
      <c r="F1010" t="s">
        <v>4081</v>
      </c>
      <c r="G1010" t="s">
        <v>4082</v>
      </c>
      <c r="H1010" t="str">
        <f>"01229 828814"</f>
        <v>01229 828814</v>
      </c>
    </row>
    <row r="1011" spans="1:8">
      <c r="A1011" t="s">
        <v>4083</v>
      </c>
      <c r="B1011" t="s">
        <v>4084</v>
      </c>
      <c r="D1011" t="s">
        <v>4085</v>
      </c>
      <c r="E1011" t="s">
        <v>4086</v>
      </c>
      <c r="F1011" t="s">
        <v>4087</v>
      </c>
      <c r="G1011" t="s">
        <v>4088</v>
      </c>
      <c r="H1011" t="str">
        <f>"01493 855676"</f>
        <v>01493 855676</v>
      </c>
    </row>
    <row r="1012" spans="1:8">
      <c r="A1012" t="s">
        <v>4083</v>
      </c>
      <c r="B1012" t="s">
        <v>4090</v>
      </c>
      <c r="C1012" t="s">
        <v>4091</v>
      </c>
      <c r="D1012" t="s">
        <v>4089</v>
      </c>
      <c r="F1012" t="s">
        <v>4092</v>
      </c>
      <c r="G1012" t="s">
        <v>4093</v>
      </c>
      <c r="H1012" t="str">
        <f>"01502 582338"</f>
        <v>01502 582338</v>
      </c>
    </row>
    <row r="1013" spans="1:8">
      <c r="A1013" t="s">
        <v>4094</v>
      </c>
      <c r="B1013" t="s">
        <v>4095</v>
      </c>
      <c r="D1013" t="s">
        <v>892</v>
      </c>
      <c r="E1013" t="s">
        <v>893</v>
      </c>
      <c r="F1013" t="s">
        <v>4096</v>
      </c>
      <c r="G1013" t="s">
        <v>4097</v>
      </c>
      <c r="H1013" t="str">
        <f>"01519341410"</f>
        <v>01519341410</v>
      </c>
    </row>
    <row r="1014" spans="1:8">
      <c r="A1014" t="s">
        <v>4098</v>
      </c>
      <c r="B1014" t="s">
        <v>4099</v>
      </c>
      <c r="D1014" t="s">
        <v>363</v>
      </c>
      <c r="F1014" t="s">
        <v>4100</v>
      </c>
      <c r="G1014" t="s">
        <v>4101</v>
      </c>
      <c r="H1014" t="str">
        <f>"01282 619000"</f>
        <v>01282 619000</v>
      </c>
    </row>
    <row r="1015" spans="1:8">
      <c r="A1015" t="s">
        <v>4098</v>
      </c>
      <c r="B1015" t="s">
        <v>4102</v>
      </c>
      <c r="D1015" t="s">
        <v>1715</v>
      </c>
      <c r="F1015" t="s">
        <v>4103</v>
      </c>
      <c r="G1015" t="s">
        <v>4101</v>
      </c>
      <c r="H1015" t="str">
        <f>"01282 423232 "</f>
        <v xml:space="preserve">01282 423232 </v>
      </c>
    </row>
    <row r="1016" spans="1:8">
      <c r="A1016" t="s">
        <v>4098</v>
      </c>
      <c r="B1016" t="s">
        <v>4104</v>
      </c>
      <c r="C1016" t="s">
        <v>2776</v>
      </c>
      <c r="D1016" t="s">
        <v>2777</v>
      </c>
      <c r="F1016" t="s">
        <v>4105</v>
      </c>
      <c r="G1016" t="s">
        <v>4106</v>
      </c>
      <c r="H1016" t="str">
        <f>"01706 222260"</f>
        <v>01706 222260</v>
      </c>
    </row>
    <row r="1017" spans="1:8">
      <c r="A1017" t="s">
        <v>4107</v>
      </c>
      <c r="B1017" t="s">
        <v>4108</v>
      </c>
      <c r="C1017" t="s">
        <v>4109</v>
      </c>
      <c r="D1017" t="s">
        <v>104</v>
      </c>
      <c r="E1017" t="s">
        <v>106</v>
      </c>
      <c r="F1017" t="s">
        <v>4110</v>
      </c>
      <c r="G1017" t="s">
        <v>4111</v>
      </c>
      <c r="H1017" t="str">
        <f>"01952 605577"</f>
        <v>01952 605577</v>
      </c>
    </row>
    <row r="1018" spans="1:8">
      <c r="A1018" t="s">
        <v>4112</v>
      </c>
      <c r="B1018" t="s">
        <v>4113</v>
      </c>
      <c r="C1018" t="s">
        <v>2586</v>
      </c>
      <c r="D1018" t="s">
        <v>892</v>
      </c>
      <c r="E1018" t="s">
        <v>893</v>
      </c>
      <c r="F1018" t="s">
        <v>4114</v>
      </c>
      <c r="G1018" t="s">
        <v>4115</v>
      </c>
      <c r="H1018" t="str">
        <f>"01519320333"</f>
        <v>01519320333</v>
      </c>
    </row>
    <row r="1019" spans="1:8">
      <c r="A1019" t="s">
        <v>4116</v>
      </c>
      <c r="B1019" t="s">
        <v>4117</v>
      </c>
      <c r="D1019" t="s">
        <v>4118</v>
      </c>
      <c r="E1019" t="s">
        <v>397</v>
      </c>
      <c r="F1019" t="s">
        <v>4119</v>
      </c>
      <c r="G1019" t="s">
        <v>4120</v>
      </c>
      <c r="H1019" t="str">
        <f>"01525 719444"</f>
        <v>01525 719444</v>
      </c>
    </row>
    <row r="1020" spans="1:8">
      <c r="A1020" t="s">
        <v>4121</v>
      </c>
      <c r="B1020" t="s">
        <v>4122</v>
      </c>
      <c r="C1020" t="s">
        <v>4123</v>
      </c>
      <c r="D1020" t="s">
        <v>3407</v>
      </c>
      <c r="E1020" t="s">
        <v>315</v>
      </c>
      <c r="F1020" t="s">
        <v>4124</v>
      </c>
      <c r="G1020" t="s">
        <v>4125</v>
      </c>
      <c r="H1020" t="str">
        <f>"01619290121"</f>
        <v>01619290121</v>
      </c>
    </row>
    <row r="1021" spans="1:8">
      <c r="A1021" t="s">
        <v>4126</v>
      </c>
      <c r="B1021" t="s">
        <v>4127</v>
      </c>
      <c r="D1021" t="s">
        <v>4128</v>
      </c>
      <c r="E1021" t="s">
        <v>200</v>
      </c>
      <c r="F1021" t="s">
        <v>4129</v>
      </c>
      <c r="G1021" t="s">
        <v>4130</v>
      </c>
      <c r="H1021" t="str">
        <f>"02086 464885"</f>
        <v>02086 464885</v>
      </c>
    </row>
    <row r="1022" spans="1:8">
      <c r="A1022" t="s">
        <v>4131</v>
      </c>
      <c r="B1022" t="s">
        <v>4132</v>
      </c>
      <c r="D1022" t="s">
        <v>4133</v>
      </c>
      <c r="F1022" t="s">
        <v>4134</v>
      </c>
      <c r="G1022" t="s">
        <v>4135</v>
      </c>
      <c r="H1022" t="str">
        <f>"01702 477106"</f>
        <v>01702 477106</v>
      </c>
    </row>
    <row r="1023" spans="1:8">
      <c r="A1023" t="s">
        <v>4131</v>
      </c>
      <c r="B1023" t="s">
        <v>4136</v>
      </c>
      <c r="D1023" t="s">
        <v>4133</v>
      </c>
      <c r="E1023" t="s">
        <v>736</v>
      </c>
      <c r="F1023" t="s">
        <v>4137</v>
      </c>
      <c r="G1023" t="s">
        <v>4135</v>
      </c>
      <c r="H1023" t="str">
        <f>"01702 477106"</f>
        <v>01702 477106</v>
      </c>
    </row>
    <row r="1024" spans="1:8">
      <c r="A1024" t="s">
        <v>4138</v>
      </c>
      <c r="B1024" t="s">
        <v>4139</v>
      </c>
      <c r="D1024" t="s">
        <v>4140</v>
      </c>
      <c r="E1024" t="s">
        <v>736</v>
      </c>
      <c r="F1024" t="s">
        <v>4141</v>
      </c>
      <c r="G1024" t="s">
        <v>4142</v>
      </c>
      <c r="H1024" t="str">
        <f>"01708522223"</f>
        <v>01708522223</v>
      </c>
    </row>
    <row r="1025" spans="1:8">
      <c r="A1025" t="s">
        <v>4138</v>
      </c>
      <c r="B1025" t="s">
        <v>4144</v>
      </c>
      <c r="C1025" t="s">
        <v>4143</v>
      </c>
      <c r="D1025" t="s">
        <v>1417</v>
      </c>
      <c r="E1025" t="s">
        <v>736</v>
      </c>
      <c r="F1025" t="s">
        <v>4145</v>
      </c>
      <c r="G1025" t="s">
        <v>4142</v>
      </c>
      <c r="H1025" t="str">
        <f>"01708522223"</f>
        <v>01708522223</v>
      </c>
    </row>
    <row r="1026" spans="1:8">
      <c r="A1026" t="s">
        <v>4146</v>
      </c>
      <c r="B1026" t="s">
        <v>4147</v>
      </c>
      <c r="D1026" t="s">
        <v>3474</v>
      </c>
      <c r="E1026" t="s">
        <v>616</v>
      </c>
      <c r="F1026" t="s">
        <v>4148</v>
      </c>
      <c r="G1026" t="s">
        <v>4149</v>
      </c>
      <c r="H1026" t="str">
        <f>"01723 351351"</f>
        <v>01723 351351</v>
      </c>
    </row>
    <row r="1027" spans="1:8">
      <c r="A1027" t="s">
        <v>4146</v>
      </c>
      <c r="B1027" t="s">
        <v>4150</v>
      </c>
      <c r="D1027" t="s">
        <v>3486</v>
      </c>
      <c r="E1027" t="s">
        <v>616</v>
      </c>
      <c r="F1027" t="s">
        <v>4151</v>
      </c>
      <c r="G1027" t="s">
        <v>4152</v>
      </c>
      <c r="H1027" t="str">
        <f>"01723 515151"</f>
        <v>01723 515151</v>
      </c>
    </row>
    <row r="1028" spans="1:8">
      <c r="A1028" t="s">
        <v>4153</v>
      </c>
      <c r="B1028" t="s">
        <v>4154</v>
      </c>
      <c r="D1028" t="s">
        <v>4155</v>
      </c>
      <c r="E1028" t="s">
        <v>736</v>
      </c>
      <c r="F1028" t="s">
        <v>4156</v>
      </c>
      <c r="G1028" t="s">
        <v>4157</v>
      </c>
      <c r="H1028" t="str">
        <f>"01992 718880"</f>
        <v>01992 718880</v>
      </c>
    </row>
    <row r="1029" spans="1:8">
      <c r="A1029" t="s">
        <v>4153</v>
      </c>
      <c r="B1029" t="s">
        <v>4158</v>
      </c>
      <c r="C1029" t="s">
        <v>2906</v>
      </c>
      <c r="D1029" t="s">
        <v>57</v>
      </c>
      <c r="F1029" t="s">
        <v>4159</v>
      </c>
      <c r="G1029" t="s">
        <v>4160</v>
      </c>
      <c r="H1029" t="str">
        <f>"01992718880"</f>
        <v>01992718880</v>
      </c>
    </row>
    <row r="1030" spans="1:8">
      <c r="A1030" t="s">
        <v>4161</v>
      </c>
      <c r="B1030" t="s">
        <v>4162</v>
      </c>
      <c r="D1030" t="s">
        <v>4163</v>
      </c>
      <c r="E1030" t="s">
        <v>520</v>
      </c>
      <c r="F1030" t="s">
        <v>4164</v>
      </c>
      <c r="G1030" t="s">
        <v>4165</v>
      </c>
      <c r="H1030" t="str">
        <f>"01424 426287"</f>
        <v>01424 426287</v>
      </c>
    </row>
    <row r="1031" spans="1:8">
      <c r="A1031" t="s">
        <v>4161</v>
      </c>
      <c r="B1031" t="s">
        <v>4167</v>
      </c>
      <c r="D1031" t="s">
        <v>4163</v>
      </c>
      <c r="E1031" t="s">
        <v>520</v>
      </c>
      <c r="F1031" t="s">
        <v>4168</v>
      </c>
      <c r="G1031" t="s">
        <v>4169</v>
      </c>
      <c r="H1031" t="str">
        <f>"01424 426287"</f>
        <v>01424 426287</v>
      </c>
    </row>
    <row r="1032" spans="1:8">
      <c r="A1032" t="s">
        <v>4170</v>
      </c>
      <c r="B1032" t="s">
        <v>4171</v>
      </c>
      <c r="D1032" t="s">
        <v>1553</v>
      </c>
      <c r="E1032" t="s">
        <v>164</v>
      </c>
      <c r="F1032" t="s">
        <v>4172</v>
      </c>
      <c r="G1032" t="s">
        <v>4173</v>
      </c>
      <c r="H1032" t="str">
        <f>"01202 292424"</f>
        <v>01202 292424</v>
      </c>
    </row>
    <row r="1033" spans="1:8">
      <c r="A1033" t="s">
        <v>4174</v>
      </c>
      <c r="B1033" t="s">
        <v>4175</v>
      </c>
      <c r="C1033" t="s">
        <v>4176</v>
      </c>
      <c r="D1033" t="s">
        <v>70</v>
      </c>
      <c r="E1033" t="s">
        <v>67</v>
      </c>
      <c r="F1033" t="s">
        <v>4177</v>
      </c>
      <c r="G1033" t="s">
        <v>4178</v>
      </c>
      <c r="H1033" t="str">
        <f>"01228 522215"</f>
        <v>01228 522215</v>
      </c>
    </row>
    <row r="1034" spans="1:8">
      <c r="A1034" t="s">
        <v>4174</v>
      </c>
      <c r="B1034" t="s">
        <v>4179</v>
      </c>
      <c r="D1034" t="s">
        <v>4180</v>
      </c>
      <c r="E1034" t="s">
        <v>67</v>
      </c>
      <c r="F1034" t="s">
        <v>4181</v>
      </c>
      <c r="G1034" t="s">
        <v>4182</v>
      </c>
      <c r="H1034" t="str">
        <f>"016973 42121"</f>
        <v>016973 42121</v>
      </c>
    </row>
    <row r="1035" spans="1:8">
      <c r="A1035" t="s">
        <v>4174</v>
      </c>
      <c r="B1035" t="s">
        <v>4184</v>
      </c>
      <c r="D1035" t="s">
        <v>4183</v>
      </c>
      <c r="F1035" t="s">
        <v>4185</v>
      </c>
      <c r="G1035" t="s">
        <v>4186</v>
      </c>
      <c r="H1035" t="str">
        <f>"01946 692165"</f>
        <v>01946 692165</v>
      </c>
    </row>
    <row r="1036" spans="1:8">
      <c r="A1036" t="s">
        <v>4174</v>
      </c>
      <c r="B1036" t="s">
        <v>4187</v>
      </c>
      <c r="D1036" t="s">
        <v>66</v>
      </c>
      <c r="F1036" t="s">
        <v>4188</v>
      </c>
      <c r="G1036" t="s">
        <v>4189</v>
      </c>
      <c r="H1036" t="str">
        <f>"01768 864651"</f>
        <v>01768 864651</v>
      </c>
    </row>
    <row r="1037" spans="1:8">
      <c r="A1037" t="s">
        <v>4174</v>
      </c>
      <c r="B1037" t="s">
        <v>4190</v>
      </c>
      <c r="C1037" t="s">
        <v>4191</v>
      </c>
      <c r="D1037" t="s">
        <v>4192</v>
      </c>
      <c r="F1037" t="s">
        <v>4193</v>
      </c>
      <c r="G1037" t="s">
        <v>4189</v>
      </c>
      <c r="H1037" t="str">
        <f>"017683 47788"</f>
        <v>017683 47788</v>
      </c>
    </row>
    <row r="1038" spans="1:8">
      <c r="A1038" t="s">
        <v>4174</v>
      </c>
      <c r="B1038" t="s">
        <v>4195</v>
      </c>
      <c r="D1038" t="s">
        <v>4194</v>
      </c>
      <c r="F1038" t="s">
        <v>4196</v>
      </c>
      <c r="G1038" t="s">
        <v>4189</v>
      </c>
      <c r="H1038" t="str">
        <f>"017683 51422"</f>
        <v>017683 51422</v>
      </c>
    </row>
    <row r="1039" spans="1:8">
      <c r="A1039" t="s">
        <v>4197</v>
      </c>
      <c r="B1039" t="s">
        <v>4198</v>
      </c>
      <c r="D1039" t="s">
        <v>4199</v>
      </c>
      <c r="E1039" t="s">
        <v>200</v>
      </c>
      <c r="F1039" t="s">
        <v>4200</v>
      </c>
      <c r="G1039" t="s">
        <v>4201</v>
      </c>
      <c r="H1039" t="str">
        <f>"020 8393 0055"</f>
        <v>020 8393 0055</v>
      </c>
    </row>
    <row r="1040" spans="1:8">
      <c r="A1040" t="s">
        <v>4197</v>
      </c>
      <c r="B1040" t="s">
        <v>4202</v>
      </c>
      <c r="D1040" t="s">
        <v>1743</v>
      </c>
      <c r="E1040" t="s">
        <v>502</v>
      </c>
      <c r="F1040" t="s">
        <v>4203</v>
      </c>
      <c r="G1040" t="s">
        <v>4204</v>
      </c>
      <c r="H1040" t="str">
        <f>"01293 526031"</f>
        <v>01293 526031</v>
      </c>
    </row>
    <row r="1041" spans="1:8">
      <c r="A1041" t="s">
        <v>4205</v>
      </c>
      <c r="B1041" t="s">
        <v>4206</v>
      </c>
      <c r="D1041" t="s">
        <v>396</v>
      </c>
      <c r="E1041" t="s">
        <v>397</v>
      </c>
      <c r="F1041" t="s">
        <v>4207</v>
      </c>
      <c r="G1041" t="s">
        <v>4208</v>
      </c>
      <c r="H1041" t="str">
        <f>"01582 514377"</f>
        <v>01582 514377</v>
      </c>
    </row>
    <row r="1042" spans="1:8">
      <c r="A1042" t="s">
        <v>4205</v>
      </c>
      <c r="B1042" t="s">
        <v>4209</v>
      </c>
      <c r="C1042" t="s">
        <v>4210</v>
      </c>
      <c r="D1042" t="s">
        <v>2137</v>
      </c>
      <c r="E1042" t="s">
        <v>184</v>
      </c>
      <c r="F1042" t="s">
        <v>4211</v>
      </c>
      <c r="G1042" t="s">
        <v>4208</v>
      </c>
      <c r="H1042" t="str">
        <f>"01442 872311"</f>
        <v>01442 872311</v>
      </c>
    </row>
    <row r="1043" spans="1:8">
      <c r="A1043" t="s">
        <v>4212</v>
      </c>
      <c r="B1043" t="s">
        <v>4213</v>
      </c>
      <c r="C1043" t="s">
        <v>4214</v>
      </c>
      <c r="D1043" t="s">
        <v>4215</v>
      </c>
      <c r="E1043" t="s">
        <v>760</v>
      </c>
      <c r="F1043" t="s">
        <v>4216</v>
      </c>
      <c r="G1043" t="s">
        <v>4217</v>
      </c>
      <c r="H1043" t="str">
        <f>"01235 521920"</f>
        <v>01235 521920</v>
      </c>
    </row>
    <row r="1044" spans="1:8">
      <c r="A1044" t="s">
        <v>4212</v>
      </c>
      <c r="B1044" t="s">
        <v>4219</v>
      </c>
      <c r="D1044" t="s">
        <v>4218</v>
      </c>
      <c r="E1044" t="s">
        <v>760</v>
      </c>
      <c r="F1044" t="s">
        <v>4220</v>
      </c>
      <c r="G1044" t="s">
        <v>4221</v>
      </c>
      <c r="H1044" t="str">
        <f>"01235 511211"</f>
        <v>01235 511211</v>
      </c>
    </row>
    <row r="1045" spans="1:8">
      <c r="A1045" t="s">
        <v>4212</v>
      </c>
      <c r="B1045" t="s">
        <v>4223</v>
      </c>
      <c r="D1045" t="s">
        <v>4222</v>
      </c>
      <c r="E1045" t="s">
        <v>760</v>
      </c>
      <c r="F1045" t="s">
        <v>4224</v>
      </c>
      <c r="G1045" t="s">
        <v>4221</v>
      </c>
      <c r="H1045" t="str">
        <f>"01491 839346"</f>
        <v>01491 839346</v>
      </c>
    </row>
    <row r="1046" spans="1:8">
      <c r="A1046" t="s">
        <v>4225</v>
      </c>
      <c r="B1046" t="s">
        <v>4226</v>
      </c>
      <c r="D1046" t="s">
        <v>4227</v>
      </c>
      <c r="E1046" t="s">
        <v>236</v>
      </c>
      <c r="F1046" t="s">
        <v>4228</v>
      </c>
      <c r="G1046" t="s">
        <v>4229</v>
      </c>
      <c r="H1046" t="str">
        <f>"01283 531366"</f>
        <v>01283 531366</v>
      </c>
    </row>
    <row r="1047" spans="1:8">
      <c r="A1047" t="s">
        <v>4230</v>
      </c>
      <c r="B1047" t="s">
        <v>4231</v>
      </c>
      <c r="C1047" t="s">
        <v>4232</v>
      </c>
      <c r="D1047" t="s">
        <v>712</v>
      </c>
      <c r="F1047" t="s">
        <v>4233</v>
      </c>
      <c r="G1047" t="s">
        <v>4234</v>
      </c>
      <c r="H1047" t="str">
        <f>"01380 733300"</f>
        <v>01380 733300</v>
      </c>
    </row>
    <row r="1048" spans="1:8">
      <c r="A1048" t="s">
        <v>4235</v>
      </c>
      <c r="B1048" t="s">
        <v>4236</v>
      </c>
      <c r="C1048" t="s">
        <v>4237</v>
      </c>
      <c r="D1048" t="s">
        <v>4238</v>
      </c>
      <c r="E1048" t="s">
        <v>340</v>
      </c>
      <c r="F1048" t="s">
        <v>4239</v>
      </c>
      <c r="G1048" t="s">
        <v>4240</v>
      </c>
      <c r="H1048" t="str">
        <f>"0191 495 2896"</f>
        <v>0191 495 2896</v>
      </c>
    </row>
    <row r="1049" spans="1:8">
      <c r="A1049" t="s">
        <v>4241</v>
      </c>
      <c r="B1049" t="s">
        <v>4242</v>
      </c>
      <c r="C1049" t="s">
        <v>4243</v>
      </c>
      <c r="D1049" t="s">
        <v>2233</v>
      </c>
      <c r="E1049" t="s">
        <v>164</v>
      </c>
      <c r="F1049" t="s">
        <v>4244</v>
      </c>
      <c r="G1049" t="s">
        <v>4245</v>
      </c>
      <c r="H1049" t="str">
        <f>"01202 499255"</f>
        <v>01202 499255</v>
      </c>
    </row>
    <row r="1050" spans="1:8">
      <c r="A1050" t="s">
        <v>4241</v>
      </c>
      <c r="B1050" t="s">
        <v>4246</v>
      </c>
      <c r="D1050" t="s">
        <v>4247</v>
      </c>
      <c r="E1050" t="s">
        <v>121</v>
      </c>
      <c r="F1050" t="s">
        <v>4248</v>
      </c>
      <c r="G1050" t="s">
        <v>4249</v>
      </c>
      <c r="H1050" t="str">
        <f>"01425 610100"</f>
        <v>01425 610100</v>
      </c>
    </row>
    <row r="1051" spans="1:8">
      <c r="A1051" t="s">
        <v>4241</v>
      </c>
      <c r="B1051" t="s">
        <v>4250</v>
      </c>
      <c r="D1051" t="s">
        <v>1566</v>
      </c>
      <c r="F1051" t="s">
        <v>4251</v>
      </c>
      <c r="G1051" t="s">
        <v>4252</v>
      </c>
      <c r="H1051" t="str">
        <f>"01202 148748"</f>
        <v>01202 148748</v>
      </c>
    </row>
    <row r="1052" spans="1:8">
      <c r="A1052" t="s">
        <v>4253</v>
      </c>
      <c r="B1052" t="s">
        <v>4254</v>
      </c>
      <c r="D1052" t="s">
        <v>1411</v>
      </c>
      <c r="E1052" t="s">
        <v>1412</v>
      </c>
      <c r="F1052" t="s">
        <v>4255</v>
      </c>
      <c r="G1052" t="s">
        <v>4256</v>
      </c>
      <c r="H1052" t="str">
        <f>"01473 611211"</f>
        <v>01473 611211</v>
      </c>
    </row>
    <row r="1053" spans="1:8">
      <c r="A1053" t="s">
        <v>4257</v>
      </c>
      <c r="B1053" t="s">
        <v>4258</v>
      </c>
      <c r="D1053" t="s">
        <v>286</v>
      </c>
      <c r="E1053" t="s">
        <v>1033</v>
      </c>
      <c r="F1053" t="s">
        <v>4259</v>
      </c>
      <c r="G1053" t="s">
        <v>4260</v>
      </c>
      <c r="H1053" t="str">
        <f>"01246 207101"</f>
        <v>01246 207101</v>
      </c>
    </row>
    <row r="1054" spans="1:8">
      <c r="A1054" t="s">
        <v>4261</v>
      </c>
      <c r="B1054" t="s">
        <v>4262</v>
      </c>
      <c r="D1054" t="s">
        <v>297</v>
      </c>
      <c r="E1054" t="s">
        <v>2112</v>
      </c>
      <c r="F1054" t="s">
        <v>3316</v>
      </c>
      <c r="G1054" t="s">
        <v>4263</v>
      </c>
      <c r="H1054" t="str">
        <f>"01618323304"</f>
        <v>01618323304</v>
      </c>
    </row>
    <row r="1055" spans="1:8">
      <c r="A1055" t="s">
        <v>4261</v>
      </c>
      <c r="B1055" t="s">
        <v>4264</v>
      </c>
      <c r="D1055" t="s">
        <v>4265</v>
      </c>
      <c r="E1055" t="s">
        <v>1033</v>
      </c>
      <c r="F1055" t="s">
        <v>4266</v>
      </c>
      <c r="G1055" t="s">
        <v>4267</v>
      </c>
      <c r="H1055" t="str">
        <f>"01457 860606"</f>
        <v>01457 860606</v>
      </c>
    </row>
    <row r="1056" spans="1:8">
      <c r="A1056" t="s">
        <v>4268</v>
      </c>
      <c r="B1056" t="s">
        <v>4269</v>
      </c>
      <c r="C1056" t="s">
        <v>4270</v>
      </c>
      <c r="D1056" t="s">
        <v>4271</v>
      </c>
      <c r="E1056" t="s">
        <v>420</v>
      </c>
      <c r="F1056" t="s">
        <v>4272</v>
      </c>
      <c r="G1056" t="s">
        <v>4273</v>
      </c>
      <c r="H1056" t="str">
        <f>"0333 207 1130"</f>
        <v>0333 207 1130</v>
      </c>
    </row>
    <row r="1057" spans="1:8">
      <c r="A1057" t="s">
        <v>4274</v>
      </c>
      <c r="B1057" t="s">
        <v>4275</v>
      </c>
      <c r="D1057" t="s">
        <v>774</v>
      </c>
      <c r="E1057" t="s">
        <v>775</v>
      </c>
      <c r="F1057" t="s">
        <v>3242</v>
      </c>
      <c r="G1057" t="s">
        <v>4276</v>
      </c>
      <c r="H1057" t="str">
        <f>"01162551811"</f>
        <v>01162551811</v>
      </c>
    </row>
    <row r="1058" spans="1:8">
      <c r="A1058" t="s">
        <v>4274</v>
      </c>
      <c r="B1058" t="s">
        <v>4277</v>
      </c>
      <c r="D1058" t="s">
        <v>3238</v>
      </c>
      <c r="E1058" t="s">
        <v>775</v>
      </c>
      <c r="F1058" t="s">
        <v>4278</v>
      </c>
      <c r="G1058" t="s">
        <v>4276</v>
      </c>
      <c r="H1058" t="str">
        <f>"01530 835041"</f>
        <v>01530 835041</v>
      </c>
    </row>
    <row r="1059" spans="1:8">
      <c r="A1059" t="s">
        <v>4274</v>
      </c>
      <c r="B1059" t="s">
        <v>4279</v>
      </c>
      <c r="C1059" t="s">
        <v>778</v>
      </c>
      <c r="D1059" t="s">
        <v>774</v>
      </c>
      <c r="E1059" t="s">
        <v>775</v>
      </c>
      <c r="F1059" t="s">
        <v>4280</v>
      </c>
      <c r="G1059" t="s">
        <v>4276</v>
      </c>
      <c r="H1059" t="str">
        <f>"01162643430"</f>
        <v>01162643430</v>
      </c>
    </row>
    <row r="1060" spans="1:8">
      <c r="A1060" t="s">
        <v>4274</v>
      </c>
      <c r="B1060" t="s">
        <v>4281</v>
      </c>
      <c r="C1060" t="s">
        <v>785</v>
      </c>
      <c r="D1060" t="s">
        <v>774</v>
      </c>
      <c r="E1060" t="s">
        <v>775</v>
      </c>
      <c r="F1060" t="s">
        <v>4282</v>
      </c>
      <c r="G1060" t="s">
        <v>4276</v>
      </c>
      <c r="H1060" t="str">
        <f>"01163440210"</f>
        <v>01163440210</v>
      </c>
    </row>
    <row r="1061" spans="1:8">
      <c r="A1061" t="s">
        <v>4274</v>
      </c>
      <c r="B1061" t="s">
        <v>4283</v>
      </c>
      <c r="D1061" t="s">
        <v>4284</v>
      </c>
      <c r="E1061" t="s">
        <v>775</v>
      </c>
      <c r="F1061" t="s">
        <v>4285</v>
      </c>
      <c r="G1061" t="s">
        <v>4276</v>
      </c>
      <c r="H1061" t="str">
        <f>"01858 462462"</f>
        <v>01858 462462</v>
      </c>
    </row>
    <row r="1062" spans="1:8">
      <c r="A1062" t="s">
        <v>4274</v>
      </c>
      <c r="B1062" t="s">
        <v>4286</v>
      </c>
      <c r="D1062" t="s">
        <v>4287</v>
      </c>
      <c r="E1062" t="s">
        <v>774</v>
      </c>
      <c r="F1062" t="s">
        <v>4288</v>
      </c>
      <c r="G1062" t="s">
        <v>4276</v>
      </c>
      <c r="H1062" t="str">
        <f>"01162001998"</f>
        <v>01162001998</v>
      </c>
    </row>
    <row r="1063" spans="1:8">
      <c r="A1063" t="s">
        <v>4274</v>
      </c>
      <c r="B1063" t="s">
        <v>4289</v>
      </c>
      <c r="D1063" t="s">
        <v>372</v>
      </c>
      <c r="F1063" t="s">
        <v>4290</v>
      </c>
      <c r="G1063" t="s">
        <v>4276</v>
      </c>
      <c r="H1063" t="str">
        <f>"01780751226"</f>
        <v>01780751226</v>
      </c>
    </row>
    <row r="1064" spans="1:8">
      <c r="A1064" t="s">
        <v>4274</v>
      </c>
      <c r="B1064" t="s">
        <v>4292</v>
      </c>
      <c r="D1064" t="s">
        <v>4291</v>
      </c>
      <c r="F1064" t="s">
        <v>4293</v>
      </c>
      <c r="G1064" t="s">
        <v>4276</v>
      </c>
      <c r="H1064" t="str">
        <f>"01455618763"</f>
        <v>01455618763</v>
      </c>
    </row>
    <row r="1065" spans="1:8">
      <c r="A1065" t="s">
        <v>4294</v>
      </c>
      <c r="B1065" t="s">
        <v>4295</v>
      </c>
      <c r="D1065" t="s">
        <v>3431</v>
      </c>
      <c r="E1065" t="s">
        <v>171</v>
      </c>
      <c r="F1065" t="s">
        <v>4296</v>
      </c>
      <c r="G1065" t="s">
        <v>4297</v>
      </c>
      <c r="H1065" t="str">
        <f>"020 8313 1300"</f>
        <v>020 8313 1300</v>
      </c>
    </row>
    <row r="1066" spans="1:8">
      <c r="A1066" t="s">
        <v>4298</v>
      </c>
      <c r="B1066" t="s">
        <v>4299</v>
      </c>
      <c r="C1066" t="s">
        <v>4300</v>
      </c>
      <c r="D1066" t="s">
        <v>141</v>
      </c>
      <c r="F1066" t="s">
        <v>4301</v>
      </c>
      <c r="G1066" t="s">
        <v>4302</v>
      </c>
      <c r="H1066" t="str">
        <f>"01225 750000"</f>
        <v>01225 750000</v>
      </c>
    </row>
    <row r="1067" spans="1:8">
      <c r="A1067" t="s">
        <v>4298</v>
      </c>
      <c r="B1067" t="s">
        <v>4303</v>
      </c>
      <c r="C1067" t="s">
        <v>4304</v>
      </c>
      <c r="D1067" t="s">
        <v>1154</v>
      </c>
      <c r="E1067" t="s">
        <v>464</v>
      </c>
      <c r="F1067" t="s">
        <v>4305</v>
      </c>
      <c r="G1067" t="s">
        <v>4302</v>
      </c>
      <c r="H1067" t="str">
        <f>"01749 342323"</f>
        <v>01749 342323</v>
      </c>
    </row>
    <row r="1068" spans="1:8">
      <c r="A1068" t="s">
        <v>4298</v>
      </c>
      <c r="B1068" t="s">
        <v>4307</v>
      </c>
      <c r="C1068" t="s">
        <v>4308</v>
      </c>
      <c r="D1068" t="s">
        <v>4306</v>
      </c>
      <c r="E1068" t="s">
        <v>164</v>
      </c>
      <c r="F1068" t="s">
        <v>4309</v>
      </c>
      <c r="G1068" t="s">
        <v>4302</v>
      </c>
      <c r="H1068" t="str">
        <f>"01935 813691"</f>
        <v>01935 813691</v>
      </c>
    </row>
    <row r="1069" spans="1:8">
      <c r="A1069" t="s">
        <v>4310</v>
      </c>
      <c r="B1069" t="s">
        <v>4311</v>
      </c>
      <c r="D1069" t="s">
        <v>1443</v>
      </c>
      <c r="E1069" t="s">
        <v>736</v>
      </c>
      <c r="F1069" t="s">
        <v>4312</v>
      </c>
      <c r="G1069" t="s">
        <v>4313</v>
      </c>
      <c r="H1069" t="str">
        <f>"01245490272"</f>
        <v>01245490272</v>
      </c>
    </row>
    <row r="1070" spans="1:8">
      <c r="A1070" t="s">
        <v>4314</v>
      </c>
      <c r="B1070" t="s">
        <v>4315</v>
      </c>
      <c r="D1070" t="s">
        <v>615</v>
      </c>
      <c r="E1070" t="s">
        <v>616</v>
      </c>
      <c r="F1070" t="s">
        <v>4316</v>
      </c>
      <c r="G1070" t="s">
        <v>4317</v>
      </c>
      <c r="H1070" t="str">
        <f>"01904 624903"</f>
        <v>01904 624903</v>
      </c>
    </row>
    <row r="1071" spans="1:8">
      <c r="A1071" t="s">
        <v>4318</v>
      </c>
      <c r="B1071" t="s">
        <v>4319</v>
      </c>
      <c r="C1071" t="s">
        <v>4320</v>
      </c>
      <c r="D1071" t="s">
        <v>1117</v>
      </c>
      <c r="E1071" t="s">
        <v>315</v>
      </c>
      <c r="F1071" t="s">
        <v>4321</v>
      </c>
      <c r="G1071" t="s">
        <v>4322</v>
      </c>
      <c r="H1071" t="str">
        <f>"01625878204"</f>
        <v>01625878204</v>
      </c>
    </row>
    <row r="1072" spans="1:8">
      <c r="A1072" t="s">
        <v>4323</v>
      </c>
      <c r="B1072" t="s">
        <v>4324</v>
      </c>
      <c r="D1072" t="s">
        <v>3387</v>
      </c>
      <c r="E1072" t="s">
        <v>236</v>
      </c>
      <c r="F1072" t="s">
        <v>4325</v>
      </c>
      <c r="G1072" t="s">
        <v>4326</v>
      </c>
      <c r="H1072" t="str">
        <f>"01782 662424"</f>
        <v>01782 662424</v>
      </c>
    </row>
    <row r="1073" spans="1:8">
      <c r="A1073" t="s">
        <v>4327</v>
      </c>
      <c r="B1073" t="s">
        <v>4328</v>
      </c>
      <c r="D1073" t="s">
        <v>131</v>
      </c>
      <c r="E1073" t="s">
        <v>132</v>
      </c>
      <c r="F1073" t="s">
        <v>4329</v>
      </c>
      <c r="G1073" t="s">
        <v>4330</v>
      </c>
      <c r="H1073" t="str">
        <f>"01524 401010"</f>
        <v>01524 401010</v>
      </c>
    </row>
    <row r="1074" spans="1:8">
      <c r="A1074" t="s">
        <v>4331</v>
      </c>
      <c r="B1074" t="s">
        <v>4332</v>
      </c>
      <c r="C1074" t="s">
        <v>4333</v>
      </c>
      <c r="D1074" t="s">
        <v>57</v>
      </c>
      <c r="F1074" t="s">
        <v>4334</v>
      </c>
      <c r="G1074" t="s">
        <v>4335</v>
      </c>
      <c r="H1074" t="str">
        <f>"02074023151"</f>
        <v>02074023151</v>
      </c>
    </row>
    <row r="1075" spans="1:8">
      <c r="A1075" t="s">
        <v>4336</v>
      </c>
      <c r="B1075" t="s">
        <v>4337</v>
      </c>
      <c r="C1075" t="s">
        <v>4338</v>
      </c>
      <c r="D1075" t="s">
        <v>152</v>
      </c>
      <c r="F1075" t="s">
        <v>4339</v>
      </c>
      <c r="G1075" t="s">
        <v>4340</v>
      </c>
      <c r="H1075" t="str">
        <f>"0118 920 9496"</f>
        <v>0118 920 9496</v>
      </c>
    </row>
    <row r="1076" spans="1:8">
      <c r="A1076" t="s">
        <v>4336</v>
      </c>
      <c r="B1076" t="s">
        <v>4341</v>
      </c>
      <c r="D1076" t="s">
        <v>4342</v>
      </c>
      <c r="E1076" t="s">
        <v>760</v>
      </c>
      <c r="F1076" t="s">
        <v>4343</v>
      </c>
      <c r="G1076" t="s">
        <v>4340</v>
      </c>
      <c r="H1076" t="str">
        <f>"01491 570900"</f>
        <v>01491 570900</v>
      </c>
    </row>
    <row r="1077" spans="1:8">
      <c r="A1077" t="s">
        <v>4344</v>
      </c>
      <c r="B1077" t="s">
        <v>4345</v>
      </c>
      <c r="D1077" t="s">
        <v>4346</v>
      </c>
      <c r="F1077" t="s">
        <v>4347</v>
      </c>
      <c r="G1077" t="s">
        <v>4348</v>
      </c>
      <c r="H1077" t="str">
        <f>"01766 831 882"</f>
        <v>01766 831 882</v>
      </c>
    </row>
    <row r="1078" spans="1:8">
      <c r="A1078" t="s">
        <v>4344</v>
      </c>
      <c r="B1078" t="s">
        <v>4349</v>
      </c>
      <c r="D1078" t="s">
        <v>4350</v>
      </c>
      <c r="F1078" t="s">
        <v>4351</v>
      </c>
      <c r="G1078" t="s">
        <v>4348</v>
      </c>
      <c r="H1078" t="str">
        <f>"01654 711499"</f>
        <v>01654 711499</v>
      </c>
    </row>
    <row r="1079" spans="1:8">
      <c r="A1079" t="s">
        <v>4344</v>
      </c>
      <c r="B1079" t="s">
        <v>4353</v>
      </c>
      <c r="D1079" t="s">
        <v>4352</v>
      </c>
      <c r="F1079" t="s">
        <v>4354</v>
      </c>
      <c r="G1079" t="s">
        <v>4348</v>
      </c>
      <c r="H1079" t="str">
        <f>"01341 281108"</f>
        <v>01341 281108</v>
      </c>
    </row>
    <row r="1080" spans="1:8">
      <c r="A1080" t="s">
        <v>4344</v>
      </c>
      <c r="B1080" t="s">
        <v>4356</v>
      </c>
      <c r="D1080" t="s">
        <v>4355</v>
      </c>
      <c r="F1080" t="s">
        <v>4357</v>
      </c>
      <c r="G1080" t="s">
        <v>4348</v>
      </c>
      <c r="H1080" t="str">
        <f>"01341 423 687"</f>
        <v>01341 423 687</v>
      </c>
    </row>
    <row r="1081" spans="1:8">
      <c r="A1081" t="s">
        <v>4358</v>
      </c>
      <c r="B1081" t="s">
        <v>4359</v>
      </c>
      <c r="C1081" t="s">
        <v>4360</v>
      </c>
      <c r="D1081" t="s">
        <v>766</v>
      </c>
      <c r="F1081" t="s">
        <v>4361</v>
      </c>
      <c r="G1081" t="s">
        <v>4362</v>
      </c>
      <c r="H1081" t="str">
        <f>"01204527777"</f>
        <v>01204527777</v>
      </c>
    </row>
    <row r="1082" spans="1:8">
      <c r="A1082" t="s">
        <v>4363</v>
      </c>
      <c r="B1082" t="s">
        <v>4364</v>
      </c>
      <c r="C1082" t="s">
        <v>2058</v>
      </c>
      <c r="D1082" t="s">
        <v>541</v>
      </c>
      <c r="E1082" t="s">
        <v>502</v>
      </c>
      <c r="F1082" t="s">
        <v>4365</v>
      </c>
      <c r="G1082" t="s">
        <v>4366</v>
      </c>
      <c r="H1082" t="str">
        <f>"01403 271222"</f>
        <v>01403 271222</v>
      </c>
    </row>
    <row r="1083" spans="1:8">
      <c r="A1083" t="s">
        <v>4367</v>
      </c>
      <c r="B1083" t="s">
        <v>4368</v>
      </c>
      <c r="D1083" t="s">
        <v>835</v>
      </c>
      <c r="E1083" t="s">
        <v>132</v>
      </c>
      <c r="F1083" t="s">
        <v>4369</v>
      </c>
      <c r="G1083" t="s">
        <v>4370</v>
      </c>
      <c r="H1083" t="str">
        <f>"0800 032 1432"</f>
        <v>0800 032 1432</v>
      </c>
    </row>
    <row r="1084" spans="1:8">
      <c r="A1084" t="s">
        <v>4371</v>
      </c>
      <c r="B1084" t="s">
        <v>4372</v>
      </c>
      <c r="C1084" t="s">
        <v>4373</v>
      </c>
      <c r="D1084" t="s">
        <v>4374</v>
      </c>
      <c r="F1084" t="s">
        <v>4375</v>
      </c>
      <c r="G1084" t="s">
        <v>4376</v>
      </c>
      <c r="H1084" t="str">
        <f>"01489 864100"</f>
        <v>01489 864100</v>
      </c>
    </row>
    <row r="1085" spans="1:8">
      <c r="A1085" t="s">
        <v>4377</v>
      </c>
      <c r="B1085" t="s">
        <v>4378</v>
      </c>
      <c r="D1085" t="s">
        <v>4379</v>
      </c>
      <c r="F1085" t="s">
        <v>4380</v>
      </c>
      <c r="G1085" t="s">
        <v>4381</v>
      </c>
      <c r="H1085" t="str">
        <f>"01398 322100"</f>
        <v>01398 322100</v>
      </c>
    </row>
    <row r="1086" spans="1:8">
      <c r="A1086" t="s">
        <v>4377</v>
      </c>
      <c r="B1086" t="s">
        <v>4382</v>
      </c>
      <c r="C1086" t="s">
        <v>4383</v>
      </c>
      <c r="D1086" t="s">
        <v>1135</v>
      </c>
      <c r="F1086" t="s">
        <v>4384</v>
      </c>
      <c r="G1086" t="s">
        <v>4381</v>
      </c>
      <c r="H1086" t="str">
        <f>"01984 632277"</f>
        <v>01984 632277</v>
      </c>
    </row>
    <row r="1087" spans="1:8">
      <c r="A1087" t="s">
        <v>4377</v>
      </c>
      <c r="B1087" t="s">
        <v>4385</v>
      </c>
      <c r="D1087" t="s">
        <v>1135</v>
      </c>
      <c r="F1087" t="s">
        <v>4386</v>
      </c>
      <c r="G1087" t="s">
        <v>4381</v>
      </c>
      <c r="H1087" t="str">
        <f>"01823 251571"</f>
        <v>01823 251571</v>
      </c>
    </row>
    <row r="1088" spans="1:8">
      <c r="A1088" t="s">
        <v>4377</v>
      </c>
      <c r="B1088" t="s">
        <v>4388</v>
      </c>
      <c r="D1088" t="s">
        <v>4387</v>
      </c>
      <c r="F1088" t="s">
        <v>4389</v>
      </c>
      <c r="G1088" t="s">
        <v>4381</v>
      </c>
      <c r="H1088" t="str">
        <f>"01643 703123"</f>
        <v>01643 703123</v>
      </c>
    </row>
    <row r="1089" spans="1:8">
      <c r="A1089" t="s">
        <v>4377</v>
      </c>
      <c r="B1089" t="s">
        <v>4390</v>
      </c>
      <c r="D1089" t="s">
        <v>1608</v>
      </c>
      <c r="F1089" t="s">
        <v>4391</v>
      </c>
      <c r="G1089" t="s">
        <v>4381</v>
      </c>
      <c r="H1089" t="str">
        <f>"01823 804430"</f>
        <v>01823 804430</v>
      </c>
    </row>
    <row r="1090" spans="1:8">
      <c r="A1090" t="s">
        <v>4377</v>
      </c>
      <c r="B1090" t="s">
        <v>4392</v>
      </c>
      <c r="D1090" t="s">
        <v>1132</v>
      </c>
      <c r="F1090" t="s">
        <v>4393</v>
      </c>
      <c r="G1090" t="s">
        <v>4381</v>
      </c>
      <c r="H1090" t="str">
        <f>"01278 550760"</f>
        <v>01278 550760</v>
      </c>
    </row>
    <row r="1091" spans="1:8">
      <c r="A1091" t="s">
        <v>4394</v>
      </c>
      <c r="B1091" t="s">
        <v>4395</v>
      </c>
      <c r="C1091" t="s">
        <v>4396</v>
      </c>
      <c r="D1091" t="s">
        <v>61</v>
      </c>
      <c r="E1091" t="s">
        <v>1956</v>
      </c>
      <c r="F1091" t="s">
        <v>4397</v>
      </c>
      <c r="G1091" t="s">
        <v>4398</v>
      </c>
      <c r="H1091" t="str">
        <f>"0117 3252929"</f>
        <v>0117 3252929</v>
      </c>
    </row>
    <row r="1092" spans="1:8">
      <c r="A1092" t="s">
        <v>4394</v>
      </c>
      <c r="B1092" t="s">
        <v>4399</v>
      </c>
      <c r="C1092" t="s">
        <v>4400</v>
      </c>
      <c r="D1092" t="s">
        <v>61</v>
      </c>
      <c r="F1092" t="s">
        <v>4401</v>
      </c>
      <c r="G1092" t="s">
        <v>4398</v>
      </c>
      <c r="H1092" t="str">
        <f>"0117 325 2929"</f>
        <v>0117 325 2929</v>
      </c>
    </row>
    <row r="1093" spans="1:8">
      <c r="A1093" t="s">
        <v>4394</v>
      </c>
      <c r="B1093" t="s">
        <v>4402</v>
      </c>
      <c r="C1093" t="s">
        <v>3829</v>
      </c>
      <c r="D1093" t="s">
        <v>61</v>
      </c>
      <c r="F1093" t="s">
        <v>4403</v>
      </c>
      <c r="G1093" t="s">
        <v>4404</v>
      </c>
      <c r="H1093" t="str">
        <f>"0117 3252929"</f>
        <v>0117 3252929</v>
      </c>
    </row>
    <row r="1094" spans="1:8">
      <c r="A1094" t="s">
        <v>4394</v>
      </c>
      <c r="B1094" t="s">
        <v>4405</v>
      </c>
      <c r="C1094" t="s">
        <v>4406</v>
      </c>
      <c r="D1094" t="s">
        <v>61</v>
      </c>
      <c r="F1094" t="s">
        <v>4407</v>
      </c>
      <c r="G1094" t="s">
        <v>4398</v>
      </c>
      <c r="H1094" t="str">
        <f>"0117 325 2929"</f>
        <v>0117 325 2929</v>
      </c>
    </row>
    <row r="1095" spans="1:8">
      <c r="A1095" t="s">
        <v>4394</v>
      </c>
      <c r="B1095" t="s">
        <v>4409</v>
      </c>
      <c r="C1095" t="s">
        <v>4408</v>
      </c>
      <c r="D1095" t="s">
        <v>61</v>
      </c>
      <c r="E1095" t="s">
        <v>1956</v>
      </c>
      <c r="F1095" t="s">
        <v>4410</v>
      </c>
      <c r="G1095" t="s">
        <v>4398</v>
      </c>
      <c r="H1095" t="str">
        <f>"0117 325 2929"</f>
        <v>0117 325 2929</v>
      </c>
    </row>
    <row r="1096" spans="1:8">
      <c r="A1096" t="s">
        <v>4411</v>
      </c>
      <c r="B1096" t="s">
        <v>4412</v>
      </c>
      <c r="C1096" t="s">
        <v>4413</v>
      </c>
      <c r="D1096" t="s">
        <v>57</v>
      </c>
      <c r="F1096" t="s">
        <v>4414</v>
      </c>
      <c r="G1096" t="s">
        <v>4415</v>
      </c>
      <c r="H1096" t="str">
        <f>"0208 946 1173"</f>
        <v>0208 946 1173</v>
      </c>
    </row>
    <row r="1097" spans="1:8">
      <c r="A1097" t="s">
        <v>4416</v>
      </c>
      <c r="B1097" t="s">
        <v>4417</v>
      </c>
      <c r="D1097" t="s">
        <v>4418</v>
      </c>
      <c r="E1097" t="s">
        <v>4418</v>
      </c>
      <c r="F1097" t="s">
        <v>4419</v>
      </c>
      <c r="G1097" t="s">
        <v>4420</v>
      </c>
      <c r="H1097" t="str">
        <f>"01978 367830"</f>
        <v>01978 367830</v>
      </c>
    </row>
    <row r="1098" spans="1:8">
      <c r="A1098" t="s">
        <v>4416</v>
      </c>
      <c r="B1098" t="s">
        <v>4421</v>
      </c>
      <c r="C1098" t="s">
        <v>4422</v>
      </c>
      <c r="D1098" t="s">
        <v>4423</v>
      </c>
      <c r="E1098" t="s">
        <v>4424</v>
      </c>
      <c r="F1098" t="s">
        <v>4425</v>
      </c>
      <c r="G1098" t="s">
        <v>4426</v>
      </c>
      <c r="H1098" t="str">
        <f>"01244 812109"</f>
        <v>01244 812109</v>
      </c>
    </row>
    <row r="1099" spans="1:8">
      <c r="A1099" t="s">
        <v>4427</v>
      </c>
      <c r="B1099" t="s">
        <v>4428</v>
      </c>
      <c r="C1099" t="s">
        <v>4429</v>
      </c>
      <c r="D1099" t="s">
        <v>552</v>
      </c>
      <c r="E1099" t="s">
        <v>309</v>
      </c>
      <c r="F1099" t="s">
        <v>4430</v>
      </c>
      <c r="G1099" t="s">
        <v>4431</v>
      </c>
      <c r="H1099" t="str">
        <f>"01752 204444"</f>
        <v>01752 204444</v>
      </c>
    </row>
    <row r="1100" spans="1:8">
      <c r="A1100" t="s">
        <v>4427</v>
      </c>
      <c r="B1100" t="s">
        <v>4433</v>
      </c>
      <c r="C1100" t="s">
        <v>4434</v>
      </c>
      <c r="D1100" t="s">
        <v>4432</v>
      </c>
      <c r="E1100" t="s">
        <v>2281</v>
      </c>
      <c r="F1100" t="s">
        <v>4435</v>
      </c>
      <c r="G1100" t="s">
        <v>4431</v>
      </c>
      <c r="H1100" t="str">
        <f>"01752 931004"</f>
        <v>01752 931004</v>
      </c>
    </row>
    <row r="1101" spans="1:8">
      <c r="A1101" t="s">
        <v>4427</v>
      </c>
      <c r="B1101" t="s">
        <v>4437</v>
      </c>
      <c r="D1101" t="s">
        <v>4436</v>
      </c>
      <c r="E1101" t="s">
        <v>309</v>
      </c>
      <c r="F1101" t="s">
        <v>4438</v>
      </c>
      <c r="G1101" t="s">
        <v>4431</v>
      </c>
      <c r="H1101" t="str">
        <f>"01822617666"</f>
        <v>01822617666</v>
      </c>
    </row>
    <row r="1102" spans="1:8">
      <c r="A1102" t="s">
        <v>4427</v>
      </c>
      <c r="B1102" t="s">
        <v>4439</v>
      </c>
      <c r="D1102" t="s">
        <v>552</v>
      </c>
      <c r="F1102" t="s">
        <v>4440</v>
      </c>
      <c r="G1102" t="s">
        <v>4431</v>
      </c>
      <c r="H1102" t="str">
        <f>"01752 406977"</f>
        <v>01752 406977</v>
      </c>
    </row>
    <row r="1103" spans="1:8">
      <c r="A1103" t="s">
        <v>4427</v>
      </c>
      <c r="B1103" t="s">
        <v>4441</v>
      </c>
      <c r="C1103" t="s">
        <v>4442</v>
      </c>
      <c r="D1103" t="s">
        <v>4443</v>
      </c>
      <c r="E1103" t="s">
        <v>549</v>
      </c>
      <c r="F1103" t="s">
        <v>4444</v>
      </c>
      <c r="G1103" t="s">
        <v>4431</v>
      </c>
      <c r="H1103" t="str">
        <f>"01392 326042"</f>
        <v>01392 326042</v>
      </c>
    </row>
    <row r="1104" spans="1:8">
      <c r="A1104" t="s">
        <v>4445</v>
      </c>
      <c r="B1104" t="s">
        <v>4446</v>
      </c>
      <c r="D1104" t="s">
        <v>4447</v>
      </c>
      <c r="E1104" t="s">
        <v>4448</v>
      </c>
      <c r="F1104" t="s">
        <v>4449</v>
      </c>
      <c r="G1104" t="s">
        <v>4450</v>
      </c>
      <c r="H1104" t="str">
        <f>"01983 811222"</f>
        <v>01983 811222</v>
      </c>
    </row>
    <row r="1105" spans="1:8">
      <c r="A1105" t="s">
        <v>4451</v>
      </c>
      <c r="B1105" t="s">
        <v>4452</v>
      </c>
      <c r="D1105" t="s">
        <v>2816</v>
      </c>
      <c r="E1105" t="s">
        <v>893</v>
      </c>
      <c r="F1105" t="s">
        <v>4453</v>
      </c>
      <c r="G1105" t="s">
        <v>4454</v>
      </c>
      <c r="H1105" t="str">
        <f>"01704532890"</f>
        <v>01704532890</v>
      </c>
    </row>
    <row r="1106" spans="1:8">
      <c r="A1106" t="s">
        <v>4451</v>
      </c>
      <c r="B1106" t="s">
        <v>4456</v>
      </c>
      <c r="C1106" t="s">
        <v>4455</v>
      </c>
      <c r="D1106" t="s">
        <v>892</v>
      </c>
      <c r="F1106" t="s">
        <v>4457</v>
      </c>
      <c r="G1106" t="s">
        <v>4454</v>
      </c>
      <c r="H1106" t="str">
        <f>"0151 928 6544"</f>
        <v>0151 928 6544</v>
      </c>
    </row>
    <row r="1107" spans="1:8">
      <c r="A1107" t="s">
        <v>4458</v>
      </c>
      <c r="B1107" t="s">
        <v>4459</v>
      </c>
      <c r="D1107" t="s">
        <v>2288</v>
      </c>
      <c r="E1107" t="s">
        <v>2281</v>
      </c>
      <c r="F1107" t="s">
        <v>4460</v>
      </c>
      <c r="G1107" t="s">
        <v>4461</v>
      </c>
      <c r="H1107" t="str">
        <f>"01637 872361"</f>
        <v>01637 872361</v>
      </c>
    </row>
    <row r="1108" spans="1:8">
      <c r="A1108" t="s">
        <v>4458</v>
      </c>
      <c r="B1108" t="s">
        <v>4462</v>
      </c>
      <c r="D1108" t="s">
        <v>57</v>
      </c>
      <c r="E1108" t="s">
        <v>57</v>
      </c>
      <c r="F1108" t="s">
        <v>4463</v>
      </c>
      <c r="G1108" t="s">
        <v>4461</v>
      </c>
      <c r="H1108" t="str">
        <f>"01637 872361"</f>
        <v>01637 872361</v>
      </c>
    </row>
    <row r="1109" spans="1:8">
      <c r="A1109" t="s">
        <v>4458</v>
      </c>
      <c r="B1109" t="s">
        <v>4464</v>
      </c>
      <c r="D1109" t="s">
        <v>2280</v>
      </c>
      <c r="F1109" t="s">
        <v>4465</v>
      </c>
      <c r="G1109" t="s">
        <v>4466</v>
      </c>
      <c r="H1109" t="str">
        <f>"01872 278641"</f>
        <v>01872 278641</v>
      </c>
    </row>
    <row r="1110" spans="1:8">
      <c r="A1110" t="s">
        <v>4467</v>
      </c>
      <c r="B1110" t="s">
        <v>4468</v>
      </c>
      <c r="D1110" t="s">
        <v>4469</v>
      </c>
      <c r="F1110" t="s">
        <v>4470</v>
      </c>
      <c r="G1110" t="s">
        <v>4471</v>
      </c>
      <c r="H1110" t="str">
        <f>"0161 368 6311"</f>
        <v>0161 368 6311</v>
      </c>
    </row>
    <row r="1111" spans="1:8">
      <c r="A1111" t="s">
        <v>4472</v>
      </c>
      <c r="B1111" t="s">
        <v>4473</v>
      </c>
      <c r="C1111" t="s">
        <v>4474</v>
      </c>
      <c r="D1111" t="s">
        <v>4475</v>
      </c>
      <c r="E1111" t="s">
        <v>1487</v>
      </c>
      <c r="F1111" t="s">
        <v>4476</v>
      </c>
      <c r="G1111" t="s">
        <v>4477</v>
      </c>
      <c r="H1111" t="str">
        <f>"0191 586 3581"</f>
        <v>0191 586 3581</v>
      </c>
    </row>
    <row r="1112" spans="1:8">
      <c r="A1112" t="s">
        <v>4472</v>
      </c>
      <c r="B1112" t="s">
        <v>4479</v>
      </c>
      <c r="D1112" t="s">
        <v>4478</v>
      </c>
      <c r="E1112" t="s">
        <v>1352</v>
      </c>
      <c r="F1112" t="s">
        <v>4480</v>
      </c>
      <c r="G1112" t="s">
        <v>4481</v>
      </c>
      <c r="H1112" t="str">
        <f>"01429 274732"</f>
        <v>01429 274732</v>
      </c>
    </row>
    <row r="1113" spans="1:8">
      <c r="A1113" t="s">
        <v>4472</v>
      </c>
      <c r="B1113" t="s">
        <v>4483</v>
      </c>
      <c r="D1113" t="s">
        <v>4482</v>
      </c>
      <c r="E1113" t="s">
        <v>1487</v>
      </c>
      <c r="F1113" t="s">
        <v>4484</v>
      </c>
      <c r="G1113" t="s">
        <v>4481</v>
      </c>
      <c r="H1113" t="str">
        <f>"01207 590 285"</f>
        <v>01207 590 285</v>
      </c>
    </row>
    <row r="1114" spans="1:8">
      <c r="A1114" t="s">
        <v>4472</v>
      </c>
      <c r="B1114" t="s">
        <v>4485</v>
      </c>
      <c r="D1114" t="s">
        <v>4486</v>
      </c>
      <c r="E1114" t="s">
        <v>1487</v>
      </c>
      <c r="F1114" t="s">
        <v>4487</v>
      </c>
      <c r="G1114" t="s">
        <v>4481</v>
      </c>
      <c r="H1114" t="str">
        <f>"0191 338 7041"</f>
        <v>0191 338 7041</v>
      </c>
    </row>
    <row r="1115" spans="1:8">
      <c r="A1115" t="s">
        <v>4472</v>
      </c>
      <c r="B1115" t="s">
        <v>4488</v>
      </c>
      <c r="D1115" t="s">
        <v>3523</v>
      </c>
      <c r="E1115" t="s">
        <v>1487</v>
      </c>
      <c r="F1115" t="s">
        <v>4489</v>
      </c>
      <c r="G1115" t="s">
        <v>4481</v>
      </c>
      <c r="H1115" t="str">
        <f>"01325 482299"</f>
        <v>01325 482299</v>
      </c>
    </row>
    <row r="1116" spans="1:8">
      <c r="A1116" t="s">
        <v>4472</v>
      </c>
      <c r="B1116" t="s">
        <v>4490</v>
      </c>
      <c r="D1116" t="s">
        <v>1457</v>
      </c>
      <c r="E1116" t="s">
        <v>340</v>
      </c>
      <c r="F1116" t="s">
        <v>4491</v>
      </c>
      <c r="G1116" t="s">
        <v>4481</v>
      </c>
      <c r="H1116" t="str">
        <f>"01915109911"</f>
        <v>01915109911</v>
      </c>
    </row>
    <row r="1117" spans="1:8">
      <c r="A1117" t="s">
        <v>4492</v>
      </c>
      <c r="B1117" t="s">
        <v>4493</v>
      </c>
      <c r="D1117" t="s">
        <v>1905</v>
      </c>
      <c r="E1117" t="s">
        <v>1906</v>
      </c>
      <c r="F1117" t="s">
        <v>1907</v>
      </c>
      <c r="G1117" t="s">
        <v>4494</v>
      </c>
      <c r="H1117" t="str">
        <f>"01983811722"</f>
        <v>01983811722</v>
      </c>
    </row>
    <row r="1118" spans="1:8">
      <c r="A1118" t="s">
        <v>4495</v>
      </c>
      <c r="B1118" t="s">
        <v>4496</v>
      </c>
      <c r="D1118" t="s">
        <v>4497</v>
      </c>
      <c r="E1118" t="s">
        <v>153</v>
      </c>
      <c r="F1118" t="s">
        <v>4498</v>
      </c>
      <c r="G1118" t="s">
        <v>4499</v>
      </c>
      <c r="H1118" t="str">
        <f>"01635 508080"</f>
        <v>01635 508080</v>
      </c>
    </row>
    <row r="1119" spans="1:8">
      <c r="A1119" t="s">
        <v>4495</v>
      </c>
      <c r="B1119" t="s">
        <v>4500</v>
      </c>
      <c r="D1119" t="s">
        <v>4501</v>
      </c>
      <c r="E1119" t="s">
        <v>153</v>
      </c>
      <c r="F1119" t="s">
        <v>4502</v>
      </c>
      <c r="G1119" t="s">
        <v>4499</v>
      </c>
      <c r="H1119" t="str">
        <f>"01635 508080"</f>
        <v>01635 508080</v>
      </c>
    </row>
    <row r="1120" spans="1:8">
      <c r="A1120" t="s">
        <v>4495</v>
      </c>
      <c r="B1120" t="s">
        <v>4503</v>
      </c>
      <c r="D1120" t="s">
        <v>747</v>
      </c>
      <c r="E1120" t="s">
        <v>153</v>
      </c>
      <c r="F1120" t="s">
        <v>4504</v>
      </c>
      <c r="G1120" t="s">
        <v>4499</v>
      </c>
      <c r="H1120" t="str">
        <f>"01628 671636"</f>
        <v>01628 671636</v>
      </c>
    </row>
    <row r="1121" spans="1:8">
      <c r="A1121" t="s">
        <v>4505</v>
      </c>
      <c r="B1121" t="s">
        <v>4506</v>
      </c>
      <c r="D1121" t="s">
        <v>1566</v>
      </c>
      <c r="E1121" t="s">
        <v>164</v>
      </c>
      <c r="F1121" t="s">
        <v>4507</v>
      </c>
      <c r="G1121" t="s">
        <v>4508</v>
      </c>
      <c r="H1121" t="str">
        <f>"01202842929"</f>
        <v>01202842929</v>
      </c>
    </row>
    <row r="1122" spans="1:8">
      <c r="A1122" t="s">
        <v>4505</v>
      </c>
      <c r="B1122" t="s">
        <v>4509</v>
      </c>
      <c r="C1122" t="s">
        <v>4510</v>
      </c>
      <c r="D1122" t="s">
        <v>1553</v>
      </c>
      <c r="E1122" t="s">
        <v>164</v>
      </c>
      <c r="F1122" t="s">
        <v>4511</v>
      </c>
      <c r="G1122" t="s">
        <v>4508</v>
      </c>
      <c r="H1122" t="str">
        <f>"01202582582"</f>
        <v>01202582582</v>
      </c>
    </row>
    <row r="1123" spans="1:8">
      <c r="A1123" t="s">
        <v>4512</v>
      </c>
      <c r="B1123" t="s">
        <v>4513</v>
      </c>
      <c r="D1123" t="s">
        <v>131</v>
      </c>
      <c r="E1123" t="s">
        <v>132</v>
      </c>
      <c r="F1123" t="s">
        <v>4514</v>
      </c>
      <c r="G1123" t="s">
        <v>4515</v>
      </c>
      <c r="H1123" t="str">
        <f>"01524 416300"</f>
        <v>01524 416300</v>
      </c>
    </row>
    <row r="1124" spans="1:8">
      <c r="A1124" t="s">
        <v>4516</v>
      </c>
      <c r="B1124" t="s">
        <v>4517</v>
      </c>
      <c r="D1124" t="s">
        <v>770</v>
      </c>
      <c r="E1124" t="s">
        <v>132</v>
      </c>
      <c r="F1124" t="s">
        <v>4518</v>
      </c>
      <c r="G1124" t="s">
        <v>4519</v>
      </c>
      <c r="H1124" t="str">
        <f>"0161 797 9222"</f>
        <v>0161 797 9222</v>
      </c>
    </row>
    <row r="1125" spans="1:8">
      <c r="A1125" t="s">
        <v>4520</v>
      </c>
      <c r="B1125" t="s">
        <v>4521</v>
      </c>
      <c r="C1125" t="s">
        <v>4522</v>
      </c>
      <c r="D1125" t="s">
        <v>2468</v>
      </c>
      <c r="E1125" t="s">
        <v>742</v>
      </c>
      <c r="F1125" t="s">
        <v>4523</v>
      </c>
      <c r="G1125" t="s">
        <v>4524</v>
      </c>
      <c r="H1125" t="str">
        <f>"01493 720019"</f>
        <v>01493 720019</v>
      </c>
    </row>
    <row r="1126" spans="1:8">
      <c r="A1126" t="s">
        <v>4520</v>
      </c>
      <c r="B1126" t="s">
        <v>4525</v>
      </c>
      <c r="D1126" t="s">
        <v>2468</v>
      </c>
      <c r="F1126" t="s">
        <v>4526</v>
      </c>
      <c r="G1126" t="s">
        <v>4524</v>
      </c>
      <c r="H1126" t="str">
        <f>"01493 857621"</f>
        <v>01493 857621</v>
      </c>
    </row>
    <row r="1127" spans="1:8">
      <c r="A1127" t="s">
        <v>4520</v>
      </c>
      <c r="B1127" t="s">
        <v>4527</v>
      </c>
      <c r="D1127" t="s">
        <v>4528</v>
      </c>
      <c r="F1127" t="s">
        <v>4529</v>
      </c>
      <c r="G1127" t="s">
        <v>4530</v>
      </c>
      <c r="H1127" t="str">
        <f>"01502 573241"</f>
        <v>01502 573241</v>
      </c>
    </row>
    <row r="1128" spans="1:8">
      <c r="A1128" t="s">
        <v>4520</v>
      </c>
      <c r="B1128" t="s">
        <v>4531</v>
      </c>
      <c r="D1128" t="s">
        <v>4532</v>
      </c>
      <c r="F1128" t="s">
        <v>4533</v>
      </c>
      <c r="G1128" t="s">
        <v>4534</v>
      </c>
      <c r="H1128" t="str">
        <f>"01502 713131"</f>
        <v>01502 713131</v>
      </c>
    </row>
    <row r="1129" spans="1:8">
      <c r="A1129" t="s">
        <v>4535</v>
      </c>
      <c r="B1129" t="s">
        <v>4536</v>
      </c>
      <c r="C1129" t="s">
        <v>4537</v>
      </c>
      <c r="D1129" t="s">
        <v>400</v>
      </c>
      <c r="E1129" t="s">
        <v>184</v>
      </c>
      <c r="F1129" t="s">
        <v>4538</v>
      </c>
      <c r="G1129" t="s">
        <v>4539</v>
      </c>
      <c r="H1129" t="str">
        <f>"01582 760161"</f>
        <v>01582 760161</v>
      </c>
    </row>
    <row r="1130" spans="1:8">
      <c r="A1130" t="s">
        <v>4540</v>
      </c>
      <c r="B1130" t="s">
        <v>4541</v>
      </c>
      <c r="D1130" t="s">
        <v>4542</v>
      </c>
      <c r="E1130" t="s">
        <v>16</v>
      </c>
      <c r="F1130" t="s">
        <v>4543</v>
      </c>
      <c r="G1130" t="s">
        <v>4544</v>
      </c>
      <c r="H1130" t="str">
        <f>"0121 3554555"</f>
        <v>0121 3554555</v>
      </c>
    </row>
    <row r="1131" spans="1:8">
      <c r="A1131" t="s">
        <v>4545</v>
      </c>
      <c r="B1131" t="s">
        <v>4546</v>
      </c>
      <c r="D1131" t="s">
        <v>1132</v>
      </c>
      <c r="E1131" t="s">
        <v>464</v>
      </c>
      <c r="F1131" t="s">
        <v>4547</v>
      </c>
      <c r="G1131" t="s">
        <v>4548</v>
      </c>
      <c r="H1131" t="str">
        <f>"01278 664060"</f>
        <v>01278 664060</v>
      </c>
    </row>
    <row r="1132" spans="1:8">
      <c r="A1132" t="s">
        <v>4545</v>
      </c>
      <c r="B1132" t="s">
        <v>4549</v>
      </c>
      <c r="D1132" t="s">
        <v>4387</v>
      </c>
      <c r="E1132" t="s">
        <v>1630</v>
      </c>
      <c r="F1132" t="s">
        <v>4550</v>
      </c>
      <c r="G1132" t="s">
        <v>4548</v>
      </c>
      <c r="H1132" t="str">
        <f>"01643 701888"</f>
        <v>01643 701888</v>
      </c>
    </row>
    <row r="1133" spans="1:8">
      <c r="A1133" t="s">
        <v>4545</v>
      </c>
      <c r="B1133" t="s">
        <v>93</v>
      </c>
      <c r="D1133" t="s">
        <v>1139</v>
      </c>
      <c r="E1133" t="s">
        <v>464</v>
      </c>
      <c r="F1133" t="s">
        <v>4551</v>
      </c>
      <c r="G1133" t="s">
        <v>4552</v>
      </c>
      <c r="H1133" t="str">
        <f>"01935 429255"</f>
        <v>01935 429255</v>
      </c>
    </row>
    <row r="1134" spans="1:8">
      <c r="A1134" t="s">
        <v>4545</v>
      </c>
      <c r="B1134" t="s">
        <v>717</v>
      </c>
      <c r="D1134" t="s">
        <v>1608</v>
      </c>
      <c r="E1134" t="s">
        <v>464</v>
      </c>
      <c r="F1134" t="s">
        <v>4391</v>
      </c>
      <c r="G1134" t="s">
        <v>4548</v>
      </c>
      <c r="H1134" t="str">
        <f>"01823 755800"</f>
        <v>01823 755800</v>
      </c>
    </row>
    <row r="1135" spans="1:8">
      <c r="A1135" t="s">
        <v>4545</v>
      </c>
      <c r="B1135" t="s">
        <v>4553</v>
      </c>
      <c r="D1135" t="s">
        <v>549</v>
      </c>
      <c r="E1135" t="s">
        <v>3261</v>
      </c>
      <c r="F1135" t="s">
        <v>4554</v>
      </c>
      <c r="G1135" t="s">
        <v>4548</v>
      </c>
      <c r="H1135" t="str">
        <f>"01392 964930"</f>
        <v>01392 964930</v>
      </c>
    </row>
    <row r="1136" spans="1:8">
      <c r="A1136" t="s">
        <v>4545</v>
      </c>
      <c r="B1136" t="s">
        <v>4555</v>
      </c>
      <c r="D1136" t="s">
        <v>4556</v>
      </c>
      <c r="F1136" t="s">
        <v>4557</v>
      </c>
      <c r="G1136" t="s">
        <v>4548</v>
      </c>
      <c r="H1136" t="str">
        <f>"01935 822 572"</f>
        <v>01935 822 572</v>
      </c>
    </row>
    <row r="1137" spans="1:8">
      <c r="A1137" t="s">
        <v>4545</v>
      </c>
      <c r="B1137" t="s">
        <v>4558</v>
      </c>
      <c r="D1137" t="s">
        <v>1135</v>
      </c>
      <c r="F1137" t="s">
        <v>4559</v>
      </c>
      <c r="G1137" t="s">
        <v>4548</v>
      </c>
      <c r="H1137" t="str">
        <f>"01823288121"</f>
        <v>01823288121</v>
      </c>
    </row>
    <row r="1138" spans="1:8">
      <c r="A1138" t="s">
        <v>4545</v>
      </c>
      <c r="B1138" t="s">
        <v>4560</v>
      </c>
      <c r="D1138" t="s">
        <v>4561</v>
      </c>
      <c r="F1138" t="s">
        <v>4562</v>
      </c>
      <c r="G1138" t="s">
        <v>4548</v>
      </c>
      <c r="H1138" t="str">
        <f>"0146057056"</f>
        <v>0146057056</v>
      </c>
    </row>
    <row r="1139" spans="1:8">
      <c r="A1139" t="s">
        <v>4545</v>
      </c>
      <c r="B1139" t="s">
        <v>4563</v>
      </c>
      <c r="D1139" t="s">
        <v>3223</v>
      </c>
      <c r="F1139" t="s">
        <v>4564</v>
      </c>
      <c r="G1139" t="s">
        <v>4565</v>
      </c>
      <c r="H1139" t="str">
        <f>"01305 752700"</f>
        <v>01305 752700</v>
      </c>
    </row>
    <row r="1140" spans="1:8">
      <c r="A1140" t="s">
        <v>4545</v>
      </c>
      <c r="B1140" t="s">
        <v>4566</v>
      </c>
      <c r="D1140" t="s">
        <v>2666</v>
      </c>
      <c r="F1140" t="s">
        <v>4567</v>
      </c>
      <c r="G1140" t="s">
        <v>4565</v>
      </c>
      <c r="H1140" t="str">
        <f>"01884 211800"</f>
        <v>01884 211800</v>
      </c>
    </row>
    <row r="1141" spans="1:8">
      <c r="A1141" t="s">
        <v>4568</v>
      </c>
      <c r="B1141" t="s">
        <v>4569</v>
      </c>
      <c r="C1141" t="s">
        <v>4570</v>
      </c>
      <c r="D1141" t="s">
        <v>4571</v>
      </c>
      <c r="E1141" t="s">
        <v>16</v>
      </c>
      <c r="F1141" t="s">
        <v>4572</v>
      </c>
      <c r="G1141" t="s">
        <v>4573</v>
      </c>
      <c r="H1141" t="str">
        <f>"0121 685 1234"</f>
        <v>0121 685 1234</v>
      </c>
    </row>
    <row r="1142" spans="1:8">
      <c r="A1142" t="s">
        <v>4568</v>
      </c>
      <c r="B1142" t="s">
        <v>4574</v>
      </c>
      <c r="C1142" t="s">
        <v>4575</v>
      </c>
      <c r="D1142" t="s">
        <v>14</v>
      </c>
      <c r="E1142" t="s">
        <v>16</v>
      </c>
      <c r="F1142" t="s">
        <v>4576</v>
      </c>
      <c r="G1142" t="s">
        <v>4577</v>
      </c>
      <c r="H1142" t="str">
        <f>"0121 6851248"</f>
        <v>0121 6851248</v>
      </c>
    </row>
    <row r="1143" spans="1:8">
      <c r="A1143" t="s">
        <v>4568</v>
      </c>
      <c r="B1143" t="s">
        <v>4579</v>
      </c>
      <c r="C1143" t="s">
        <v>4578</v>
      </c>
      <c r="D1143" t="s">
        <v>14</v>
      </c>
      <c r="E1143" t="s">
        <v>16</v>
      </c>
      <c r="F1143" t="s">
        <v>4580</v>
      </c>
      <c r="G1143" t="s">
        <v>4581</v>
      </c>
      <c r="H1143" t="str">
        <f>"0121 685 1255"</f>
        <v>0121 685 1255</v>
      </c>
    </row>
    <row r="1144" spans="1:8">
      <c r="A1144" t="s">
        <v>4568</v>
      </c>
      <c r="B1144" t="s">
        <v>4582</v>
      </c>
      <c r="C1144" t="s">
        <v>4583</v>
      </c>
      <c r="D1144" t="s">
        <v>4542</v>
      </c>
      <c r="E1144" t="s">
        <v>16</v>
      </c>
      <c r="F1144" t="s">
        <v>4584</v>
      </c>
      <c r="G1144" t="s">
        <v>4585</v>
      </c>
      <c r="H1144" t="str">
        <f>"0121 323 2525"</f>
        <v>0121 323 2525</v>
      </c>
    </row>
    <row r="1145" spans="1:8">
      <c r="A1145" t="s">
        <v>4568</v>
      </c>
      <c r="B1145" t="s">
        <v>4586</v>
      </c>
      <c r="C1145" t="s">
        <v>4587</v>
      </c>
      <c r="D1145" t="s">
        <v>3194</v>
      </c>
      <c r="E1145" t="s">
        <v>16</v>
      </c>
      <c r="F1145" t="s">
        <v>4588</v>
      </c>
      <c r="G1145" t="s">
        <v>4589</v>
      </c>
      <c r="H1145" t="str">
        <f>"0121 289 3500"</f>
        <v>0121 289 3500</v>
      </c>
    </row>
    <row r="1146" spans="1:8">
      <c r="A1146" t="s">
        <v>4568</v>
      </c>
      <c r="B1146" t="s">
        <v>4590</v>
      </c>
      <c r="D1146" t="s">
        <v>14</v>
      </c>
      <c r="E1146" t="s">
        <v>16</v>
      </c>
      <c r="F1146" t="s">
        <v>4591</v>
      </c>
      <c r="G1146" t="s">
        <v>4592</v>
      </c>
      <c r="H1146" t="str">
        <f>"0121 217 9000 "</f>
        <v xml:space="preserve">0121 217 9000 </v>
      </c>
    </row>
    <row r="1147" spans="1:8">
      <c r="A1147" t="s">
        <v>4568</v>
      </c>
      <c r="B1147" t="s">
        <v>4593</v>
      </c>
      <c r="D1147" t="s">
        <v>1111</v>
      </c>
      <c r="F1147" t="s">
        <v>4594</v>
      </c>
      <c r="G1147" t="s">
        <v>4595</v>
      </c>
      <c r="H1147" t="str">
        <f>"01902927333"</f>
        <v>01902927333</v>
      </c>
    </row>
    <row r="1148" spans="1:8">
      <c r="A1148" t="s">
        <v>4568</v>
      </c>
      <c r="B1148" t="s">
        <v>4597</v>
      </c>
      <c r="D1148" t="s">
        <v>4596</v>
      </c>
      <c r="E1148" t="s">
        <v>1200</v>
      </c>
      <c r="F1148" t="s">
        <v>4598</v>
      </c>
      <c r="G1148" t="s">
        <v>4599</v>
      </c>
      <c r="H1148" t="str">
        <f>"01789 632 500 "</f>
        <v xml:space="preserve">01789 632 500 </v>
      </c>
    </row>
    <row r="1149" spans="1:8">
      <c r="A1149" t="s">
        <v>4568</v>
      </c>
      <c r="B1149" t="s">
        <v>4600</v>
      </c>
      <c r="D1149" t="s">
        <v>4601</v>
      </c>
      <c r="F1149" t="s">
        <v>4602</v>
      </c>
      <c r="G1149" t="s">
        <v>4603</v>
      </c>
      <c r="H1149" t="str">
        <f>"01785556705"</f>
        <v>01785556705</v>
      </c>
    </row>
    <row r="1150" spans="1:8">
      <c r="A1150" t="s">
        <v>4604</v>
      </c>
      <c r="B1150" t="s">
        <v>4605</v>
      </c>
      <c r="D1150" t="s">
        <v>774</v>
      </c>
      <c r="F1150" t="s">
        <v>4606</v>
      </c>
      <c r="G1150" t="s">
        <v>4607</v>
      </c>
      <c r="H1150" t="str">
        <f>"0116 2558500"</f>
        <v>0116 2558500</v>
      </c>
    </row>
    <row r="1151" spans="1:8">
      <c r="A1151" t="s">
        <v>4568</v>
      </c>
      <c r="B1151" t="s">
        <v>4608</v>
      </c>
      <c r="D1151" t="s">
        <v>3959</v>
      </c>
      <c r="E1151" t="s">
        <v>236</v>
      </c>
      <c r="F1151" t="s">
        <v>3960</v>
      </c>
      <c r="G1151" t="s">
        <v>4609</v>
      </c>
      <c r="H1151" t="str">
        <f>"01543387509"</f>
        <v>01543387509</v>
      </c>
    </row>
    <row r="1152" spans="1:8">
      <c r="A1152" t="s">
        <v>4568</v>
      </c>
      <c r="B1152" t="s">
        <v>4610</v>
      </c>
      <c r="D1152" t="s">
        <v>1198</v>
      </c>
      <c r="F1152" t="s">
        <v>4611</v>
      </c>
      <c r="G1152" t="s">
        <v>4612</v>
      </c>
      <c r="H1152" t="str">
        <f>"01926893278"</f>
        <v>01926893278</v>
      </c>
    </row>
    <row r="1153" spans="1:8">
      <c r="A1153" t="s">
        <v>4568</v>
      </c>
      <c r="B1153" t="s">
        <v>4613</v>
      </c>
      <c r="D1153" t="s">
        <v>57</v>
      </c>
      <c r="F1153" t="s">
        <v>4614</v>
      </c>
      <c r="G1153" t="s">
        <v>4615</v>
      </c>
      <c r="H1153" t="str">
        <f>"020 3751 4952"</f>
        <v>020 3751 4952</v>
      </c>
    </row>
    <row r="1154" spans="1:8">
      <c r="A1154" t="s">
        <v>4568</v>
      </c>
      <c r="B1154" t="s">
        <v>4616</v>
      </c>
      <c r="D1154" t="s">
        <v>3938</v>
      </c>
      <c r="F1154" t="s">
        <v>4617</v>
      </c>
      <c r="G1154" t="s">
        <v>4618</v>
      </c>
      <c r="H1154" t="str">
        <f>"02475 316 959"</f>
        <v>02475 316 959</v>
      </c>
    </row>
    <row r="1155" spans="1:8">
      <c r="A1155" t="s">
        <v>4568</v>
      </c>
      <c r="B1155" t="s">
        <v>4620</v>
      </c>
      <c r="C1155" t="s">
        <v>4619</v>
      </c>
      <c r="D1155" t="s">
        <v>158</v>
      </c>
      <c r="F1155" t="s">
        <v>4621</v>
      </c>
      <c r="G1155" t="s">
        <v>4622</v>
      </c>
      <c r="H1155" t="str">
        <f>"01451 828 865"</f>
        <v>01451 828 865</v>
      </c>
    </row>
    <row r="1156" spans="1:8">
      <c r="A1156" t="s">
        <v>4568</v>
      </c>
      <c r="B1156" t="s">
        <v>4623</v>
      </c>
      <c r="D1156" t="s">
        <v>1198</v>
      </c>
      <c r="F1156" t="s">
        <v>4624</v>
      </c>
      <c r="G1156" t="s">
        <v>4625</v>
      </c>
      <c r="H1156" t="str">
        <f>"03301748545"</f>
        <v>03301748545</v>
      </c>
    </row>
    <row r="1157" spans="1:8">
      <c r="A1157" t="s">
        <v>4568</v>
      </c>
      <c r="B1157" t="s">
        <v>2402</v>
      </c>
      <c r="D1157" t="s">
        <v>4284</v>
      </c>
      <c r="F1157" t="s">
        <v>4626</v>
      </c>
      <c r="G1157" t="s">
        <v>4625</v>
      </c>
      <c r="H1157" t="str">
        <f>"03306302233"</f>
        <v>03306302233</v>
      </c>
    </row>
    <row r="1158" spans="1:8">
      <c r="A1158" t="s">
        <v>4568</v>
      </c>
      <c r="B1158" t="s">
        <v>4627</v>
      </c>
      <c r="D1158" t="s">
        <v>1042</v>
      </c>
      <c r="F1158" t="s">
        <v>4628</v>
      </c>
      <c r="G1158" t="s">
        <v>4629</v>
      </c>
      <c r="H1158" t="str">
        <f>"01656 645 921"</f>
        <v>01656 645 921</v>
      </c>
    </row>
    <row r="1159" spans="1:8">
      <c r="A1159" t="s">
        <v>4568</v>
      </c>
      <c r="B1159" t="s">
        <v>4631</v>
      </c>
      <c r="D1159" t="s">
        <v>4630</v>
      </c>
      <c r="F1159" t="s">
        <v>4632</v>
      </c>
      <c r="G1159" t="s">
        <v>4633</v>
      </c>
      <c r="H1159" t="str">
        <f>"01543 387 416"</f>
        <v>01543 387 416</v>
      </c>
    </row>
    <row r="1160" spans="1:8">
      <c r="A1160" t="s">
        <v>4568</v>
      </c>
      <c r="B1160" t="s">
        <v>4634</v>
      </c>
      <c r="C1160" t="s">
        <v>4635</v>
      </c>
      <c r="D1160" t="s">
        <v>303</v>
      </c>
      <c r="F1160" t="s">
        <v>4636</v>
      </c>
      <c r="G1160" t="s">
        <v>4637</v>
      </c>
      <c r="H1160" t="str">
        <f>"02922 971 435"</f>
        <v>02922 971 435</v>
      </c>
    </row>
    <row r="1161" spans="1:8">
      <c r="A1161" t="s">
        <v>4568</v>
      </c>
      <c r="B1161" t="s">
        <v>4639</v>
      </c>
      <c r="D1161" t="s">
        <v>4638</v>
      </c>
      <c r="F1161" t="s">
        <v>4640</v>
      </c>
      <c r="G1161" t="s">
        <v>4641</v>
      </c>
      <c r="H1161" t="str">
        <f>"01788 716 362"</f>
        <v>01788 716 362</v>
      </c>
    </row>
    <row r="1162" spans="1:8">
      <c r="A1162" t="s">
        <v>4642</v>
      </c>
      <c r="B1162" t="s">
        <v>4643</v>
      </c>
      <c r="D1162" t="s">
        <v>1190</v>
      </c>
      <c r="E1162" t="s">
        <v>397</v>
      </c>
      <c r="F1162" t="s">
        <v>4644</v>
      </c>
      <c r="G1162" t="s">
        <v>4645</v>
      </c>
      <c r="H1162" t="str">
        <f>"01234 218171"</f>
        <v>01234 218171</v>
      </c>
    </row>
    <row r="1163" spans="1:8">
      <c r="A1163" t="s">
        <v>4646</v>
      </c>
      <c r="B1163" t="s">
        <v>4647</v>
      </c>
      <c r="D1163" t="s">
        <v>4648</v>
      </c>
      <c r="E1163" t="s">
        <v>2281</v>
      </c>
      <c r="F1163" t="s">
        <v>4649</v>
      </c>
      <c r="G1163" t="s">
        <v>4650</v>
      </c>
      <c r="H1163" t="str">
        <f>"01208 74242"</f>
        <v>01208 74242</v>
      </c>
    </row>
    <row r="1164" spans="1:8">
      <c r="A1164" t="s">
        <v>4651</v>
      </c>
      <c r="B1164" t="s">
        <v>4652</v>
      </c>
      <c r="D1164" t="s">
        <v>3194</v>
      </c>
      <c r="E1164" t="s">
        <v>16</v>
      </c>
      <c r="F1164" t="s">
        <v>4653</v>
      </c>
      <c r="G1164" t="s">
        <v>4654</v>
      </c>
      <c r="H1164" t="str">
        <f>"0121 270 2701"</f>
        <v>0121 270 2701</v>
      </c>
    </row>
    <row r="1165" spans="1:8">
      <c r="A1165" t="s">
        <v>4655</v>
      </c>
      <c r="B1165" t="s">
        <v>4656</v>
      </c>
      <c r="C1165" t="s">
        <v>2005</v>
      </c>
      <c r="D1165" t="s">
        <v>2006</v>
      </c>
      <c r="F1165" t="s">
        <v>4657</v>
      </c>
      <c r="G1165" t="s">
        <v>4658</v>
      </c>
      <c r="H1165" t="str">
        <f>"02088640722"</f>
        <v>02088640722</v>
      </c>
    </row>
    <row r="1166" spans="1:8">
      <c r="A1166" t="s">
        <v>4659</v>
      </c>
      <c r="B1166" t="s">
        <v>4660</v>
      </c>
      <c r="D1166" t="s">
        <v>1256</v>
      </c>
      <c r="E1166" t="s">
        <v>280</v>
      </c>
      <c r="F1166" t="s">
        <v>4661</v>
      </c>
      <c r="G1166" t="s">
        <v>4662</v>
      </c>
      <c r="H1166" t="str">
        <f>"01484 519 999"</f>
        <v>01484 519 999</v>
      </c>
    </row>
    <row r="1167" spans="1:8">
      <c r="A1167" t="s">
        <v>4659</v>
      </c>
      <c r="B1167" t="s">
        <v>4663</v>
      </c>
      <c r="C1167" t="s">
        <v>4664</v>
      </c>
      <c r="D1167" t="s">
        <v>1520</v>
      </c>
      <c r="E1167" t="s">
        <v>280</v>
      </c>
      <c r="F1167" t="s">
        <v>4665</v>
      </c>
      <c r="G1167" t="s">
        <v>4662</v>
      </c>
      <c r="H1167" t="str">
        <f>"01422 330 601"</f>
        <v>01422 330 601</v>
      </c>
    </row>
    <row r="1168" spans="1:8">
      <c r="A1168" t="s">
        <v>4659</v>
      </c>
      <c r="B1168" t="s">
        <v>4666</v>
      </c>
      <c r="C1168" t="s">
        <v>4667</v>
      </c>
      <c r="D1168" t="s">
        <v>326</v>
      </c>
      <c r="E1168" t="s">
        <v>280</v>
      </c>
      <c r="F1168" t="s">
        <v>4668</v>
      </c>
      <c r="G1168" t="s">
        <v>4662</v>
      </c>
      <c r="H1168" t="str">
        <f>"01924 379 078"</f>
        <v>01924 379 078</v>
      </c>
    </row>
    <row r="1169" spans="1:8">
      <c r="A1169" t="s">
        <v>4659</v>
      </c>
      <c r="B1169" t="s">
        <v>4669</v>
      </c>
      <c r="C1169" t="s">
        <v>2759</v>
      </c>
      <c r="D1169" t="s">
        <v>355</v>
      </c>
      <c r="E1169" t="s">
        <v>280</v>
      </c>
      <c r="F1169" t="s">
        <v>4670</v>
      </c>
      <c r="G1169" t="s">
        <v>4662</v>
      </c>
      <c r="H1169" t="str">
        <f>"0113 252 3452"</f>
        <v>0113 252 3452</v>
      </c>
    </row>
    <row r="1170" spans="1:8">
      <c r="A1170" t="s">
        <v>4659</v>
      </c>
      <c r="B1170" t="s">
        <v>4671</v>
      </c>
      <c r="D1170" t="s">
        <v>355</v>
      </c>
      <c r="E1170" t="s">
        <v>280</v>
      </c>
      <c r="F1170" t="s">
        <v>4672</v>
      </c>
      <c r="G1170" t="s">
        <v>4662</v>
      </c>
      <c r="H1170" t="str">
        <f>"0113 225 8811"</f>
        <v>0113 225 8811</v>
      </c>
    </row>
    <row r="1171" spans="1:8">
      <c r="A1171" t="s">
        <v>4659</v>
      </c>
      <c r="B1171" t="s">
        <v>4674</v>
      </c>
      <c r="C1171" t="s">
        <v>4673</v>
      </c>
      <c r="D1171" t="s">
        <v>326</v>
      </c>
      <c r="E1171" t="s">
        <v>280</v>
      </c>
      <c r="F1171" t="s">
        <v>4675</v>
      </c>
      <c r="G1171" t="s">
        <v>4662</v>
      </c>
      <c r="H1171" t="str">
        <f>"01924 263166"</f>
        <v>01924 263166</v>
      </c>
    </row>
    <row r="1172" spans="1:8">
      <c r="A1172" t="s">
        <v>4659</v>
      </c>
      <c r="B1172" t="s">
        <v>4676</v>
      </c>
      <c r="C1172" t="s">
        <v>4677</v>
      </c>
      <c r="D1172" t="s">
        <v>674</v>
      </c>
      <c r="E1172" t="s">
        <v>280</v>
      </c>
      <c r="F1172" t="s">
        <v>4678</v>
      </c>
      <c r="G1172" t="s">
        <v>4662</v>
      </c>
      <c r="H1172" t="str">
        <f>"01274 381900"</f>
        <v>01274 381900</v>
      </c>
    </row>
    <row r="1173" spans="1:8">
      <c r="A1173" t="s">
        <v>4659</v>
      </c>
      <c r="B1173" t="s">
        <v>4680</v>
      </c>
      <c r="C1173" t="s">
        <v>4679</v>
      </c>
      <c r="D1173" t="s">
        <v>355</v>
      </c>
      <c r="F1173" t="s">
        <v>4681</v>
      </c>
      <c r="G1173" t="s">
        <v>4662</v>
      </c>
      <c r="H1173" t="str">
        <f>"01943 883960"</f>
        <v>01943 883960</v>
      </c>
    </row>
    <row r="1174" spans="1:8">
      <c r="A1174" t="s">
        <v>4682</v>
      </c>
      <c r="B1174" t="s">
        <v>4683</v>
      </c>
      <c r="D1174" t="s">
        <v>4247</v>
      </c>
      <c r="E1174" t="s">
        <v>121</v>
      </c>
      <c r="F1174" t="s">
        <v>4684</v>
      </c>
      <c r="G1174" t="s">
        <v>4685</v>
      </c>
      <c r="H1174" t="str">
        <f>"01425 471424"</f>
        <v>01425 471424</v>
      </c>
    </row>
    <row r="1175" spans="1:8">
      <c r="A1175" t="s">
        <v>4682</v>
      </c>
      <c r="B1175" t="s">
        <v>4686</v>
      </c>
      <c r="D1175" t="s">
        <v>1638</v>
      </c>
      <c r="F1175" t="s">
        <v>4687</v>
      </c>
      <c r="G1175" t="s">
        <v>4685</v>
      </c>
      <c r="H1175" t="str">
        <f>"01425 471424"</f>
        <v>01425 471424</v>
      </c>
    </row>
    <row r="1176" spans="1:8">
      <c r="A1176" t="s">
        <v>4659</v>
      </c>
      <c r="B1176" t="s">
        <v>4688</v>
      </c>
      <c r="C1176" t="s">
        <v>4689</v>
      </c>
      <c r="D1176" t="s">
        <v>3523</v>
      </c>
      <c r="F1176" t="s">
        <v>4690</v>
      </c>
      <c r="G1176" t="s">
        <v>4691</v>
      </c>
      <c r="H1176" t="str">
        <f>"01325 952913"</f>
        <v>01325 952913</v>
      </c>
    </row>
    <row r="1177" spans="1:8">
      <c r="A1177" t="s">
        <v>4692</v>
      </c>
      <c r="B1177" t="s">
        <v>4693</v>
      </c>
      <c r="D1177" t="s">
        <v>3312</v>
      </c>
      <c r="E1177" t="s">
        <v>315</v>
      </c>
      <c r="F1177" t="s">
        <v>4694</v>
      </c>
      <c r="G1177" t="s">
        <v>4695</v>
      </c>
      <c r="H1177" t="str">
        <f>"0161 973 2434"</f>
        <v>0161 973 2434</v>
      </c>
    </row>
    <row r="1178" spans="1:8">
      <c r="A1178" t="s">
        <v>4692</v>
      </c>
      <c r="B1178" t="s">
        <v>4697</v>
      </c>
      <c r="C1178" t="s">
        <v>4696</v>
      </c>
      <c r="D1178" t="s">
        <v>297</v>
      </c>
      <c r="F1178" t="s">
        <v>4698</v>
      </c>
      <c r="G1178" t="s">
        <v>4699</v>
      </c>
      <c r="H1178" t="str">
        <f>"0161 775 0444"</f>
        <v>0161 775 0444</v>
      </c>
    </row>
    <row r="1179" spans="1:8">
      <c r="A1179" t="s">
        <v>4700</v>
      </c>
      <c r="B1179" t="s">
        <v>4701</v>
      </c>
      <c r="D1179" t="s">
        <v>1962</v>
      </c>
      <c r="E1179" t="s">
        <v>121</v>
      </c>
      <c r="F1179" t="s">
        <v>4702</v>
      </c>
      <c r="G1179" t="s">
        <v>4703</v>
      </c>
      <c r="H1179" t="str">
        <f>"01256 896633"</f>
        <v>01256 896633</v>
      </c>
    </row>
    <row r="1180" spans="1:8">
      <c r="A1180" t="s">
        <v>4704</v>
      </c>
      <c r="B1180" t="s">
        <v>4705</v>
      </c>
      <c r="C1180" t="s">
        <v>4706</v>
      </c>
      <c r="D1180" t="s">
        <v>1426</v>
      </c>
      <c r="E1180" t="s">
        <v>3490</v>
      </c>
      <c r="F1180" t="s">
        <v>4707</v>
      </c>
      <c r="G1180" t="s">
        <v>4708</v>
      </c>
      <c r="H1180" t="str">
        <f>"01482 225566"</f>
        <v>01482 225566</v>
      </c>
    </row>
    <row r="1181" spans="1:8">
      <c r="A1181" t="s">
        <v>4704</v>
      </c>
      <c r="B1181" t="s">
        <v>4709</v>
      </c>
      <c r="D1181" t="s">
        <v>4710</v>
      </c>
      <c r="F1181" t="s">
        <v>4711</v>
      </c>
      <c r="G1181" t="s">
        <v>4712</v>
      </c>
      <c r="H1181" t="str">
        <f>"01482225566"</f>
        <v>01482225566</v>
      </c>
    </row>
    <row r="1182" spans="1:8">
      <c r="A1182" t="s">
        <v>4713</v>
      </c>
      <c r="B1182" t="s">
        <v>4714</v>
      </c>
      <c r="C1182" t="s">
        <v>4715</v>
      </c>
      <c r="D1182" t="s">
        <v>355</v>
      </c>
      <c r="E1182" t="s">
        <v>280</v>
      </c>
      <c r="F1182" t="s">
        <v>4716</v>
      </c>
      <c r="G1182" t="s">
        <v>4717</v>
      </c>
      <c r="H1182" t="str">
        <f>"0113 259 1761"</f>
        <v>0113 259 1761</v>
      </c>
    </row>
    <row r="1183" spans="1:8">
      <c r="A1183" t="s">
        <v>4718</v>
      </c>
      <c r="B1183" t="s">
        <v>4719</v>
      </c>
      <c r="D1183" t="s">
        <v>1438</v>
      </c>
      <c r="E1183" t="s">
        <v>736</v>
      </c>
      <c r="F1183" t="s">
        <v>4720</v>
      </c>
      <c r="G1183" t="s">
        <v>4721</v>
      </c>
      <c r="H1183" t="str">
        <f>"01375 390239"</f>
        <v>01375 390239</v>
      </c>
    </row>
    <row r="1184" spans="1:8">
      <c r="A1184" t="s">
        <v>4718</v>
      </c>
      <c r="B1184" t="s">
        <v>4722</v>
      </c>
      <c r="D1184" t="s">
        <v>1438</v>
      </c>
      <c r="E1184" t="s">
        <v>736</v>
      </c>
      <c r="F1184" t="s">
        <v>4723</v>
      </c>
      <c r="G1184" t="s">
        <v>4724</v>
      </c>
      <c r="H1184" t="str">
        <f>"01375 378331"</f>
        <v>01375 378331</v>
      </c>
    </row>
    <row r="1185" spans="1:8">
      <c r="A1185" t="s">
        <v>4725</v>
      </c>
      <c r="B1185" t="s">
        <v>2213</v>
      </c>
      <c r="D1185" t="s">
        <v>4726</v>
      </c>
      <c r="E1185" t="s">
        <v>132</v>
      </c>
      <c r="F1185" t="s">
        <v>4727</v>
      </c>
      <c r="G1185" t="s">
        <v>4728</v>
      </c>
      <c r="H1185" t="str">
        <f>"01253 850777"</f>
        <v>01253 850777</v>
      </c>
    </row>
    <row r="1186" spans="1:8">
      <c r="A1186" t="s">
        <v>4725</v>
      </c>
      <c r="B1186" t="s">
        <v>4729</v>
      </c>
      <c r="D1186" t="s">
        <v>835</v>
      </c>
      <c r="F1186" t="s">
        <v>4730</v>
      </c>
      <c r="G1186" t="s">
        <v>4731</v>
      </c>
      <c r="H1186" t="str">
        <f>"01253 850777"</f>
        <v>01253 850777</v>
      </c>
    </row>
    <row r="1187" spans="1:8">
      <c r="A1187" t="s">
        <v>4732</v>
      </c>
      <c r="B1187" t="s">
        <v>4733</v>
      </c>
      <c r="C1187" t="s">
        <v>4734</v>
      </c>
      <c r="D1187" t="s">
        <v>355</v>
      </c>
      <c r="E1187" t="s">
        <v>280</v>
      </c>
      <c r="F1187" t="s">
        <v>4735</v>
      </c>
      <c r="G1187" t="s">
        <v>4736</v>
      </c>
      <c r="H1187" t="str">
        <f>"0113 2207 400"</f>
        <v>0113 2207 400</v>
      </c>
    </row>
    <row r="1188" spans="1:8">
      <c r="A1188" t="s">
        <v>4737</v>
      </c>
      <c r="B1188" t="s">
        <v>4738</v>
      </c>
      <c r="D1188" t="s">
        <v>995</v>
      </c>
      <c r="E1188" t="s">
        <v>990</v>
      </c>
      <c r="F1188" t="s">
        <v>4739</v>
      </c>
      <c r="G1188" t="s">
        <v>4740</v>
      </c>
      <c r="H1188" t="str">
        <f>"01628487487"</f>
        <v>01628487487</v>
      </c>
    </row>
    <row r="1189" spans="1:8">
      <c r="A1189" t="s">
        <v>4741</v>
      </c>
      <c r="B1189" t="s">
        <v>4742</v>
      </c>
      <c r="C1189" t="s">
        <v>4743</v>
      </c>
      <c r="D1189" t="s">
        <v>1300</v>
      </c>
      <c r="E1189" t="s">
        <v>132</v>
      </c>
      <c r="F1189" t="s">
        <v>4744</v>
      </c>
      <c r="G1189" t="s">
        <v>4745</v>
      </c>
      <c r="H1189" t="str">
        <f>"01706645600"</f>
        <v>01706645600</v>
      </c>
    </row>
    <row r="1190" spans="1:8">
      <c r="A1190" t="s">
        <v>4746</v>
      </c>
      <c r="B1190" t="s">
        <v>4747</v>
      </c>
      <c r="D1190" t="s">
        <v>766</v>
      </c>
      <c r="E1190" t="s">
        <v>2112</v>
      </c>
      <c r="F1190" t="s">
        <v>4748</v>
      </c>
      <c r="G1190" t="s">
        <v>4749</v>
      </c>
      <c r="H1190" t="str">
        <f>"01204 399299"</f>
        <v>01204 399299</v>
      </c>
    </row>
    <row r="1191" spans="1:8">
      <c r="A1191" t="s">
        <v>4746</v>
      </c>
      <c r="B1191" t="s">
        <v>4750</v>
      </c>
      <c r="D1191" t="s">
        <v>770</v>
      </c>
      <c r="E1191" t="s">
        <v>2112</v>
      </c>
      <c r="F1191" t="s">
        <v>4751</v>
      </c>
      <c r="G1191" t="s">
        <v>4749</v>
      </c>
      <c r="H1191" t="str">
        <f>"0161 7622888"</f>
        <v>0161 7622888</v>
      </c>
    </row>
    <row r="1192" spans="1:8">
      <c r="A1192" t="s">
        <v>4746</v>
      </c>
      <c r="B1192" t="s">
        <v>4752</v>
      </c>
      <c r="C1192" t="s">
        <v>4753</v>
      </c>
      <c r="D1192" t="s">
        <v>766</v>
      </c>
      <c r="E1192" t="s">
        <v>2112</v>
      </c>
      <c r="F1192" t="s">
        <v>4754</v>
      </c>
      <c r="G1192" t="s">
        <v>4749</v>
      </c>
      <c r="H1192" t="str">
        <f>"01204 707926"</f>
        <v>01204 707926</v>
      </c>
    </row>
    <row r="1193" spans="1:8">
      <c r="A1193" t="s">
        <v>4746</v>
      </c>
      <c r="B1193" t="s">
        <v>4755</v>
      </c>
      <c r="C1193" t="s">
        <v>4756</v>
      </c>
      <c r="D1193" t="s">
        <v>766</v>
      </c>
      <c r="E1193" t="s">
        <v>2112</v>
      </c>
      <c r="F1193" t="s">
        <v>4757</v>
      </c>
      <c r="G1193" t="s">
        <v>4749</v>
      </c>
      <c r="H1193" t="str">
        <f>"01204 699432"</f>
        <v>01204 699432</v>
      </c>
    </row>
    <row r="1194" spans="1:8">
      <c r="A1194" t="s">
        <v>4746</v>
      </c>
      <c r="B1194" t="s">
        <v>4758</v>
      </c>
      <c r="D1194" t="s">
        <v>4759</v>
      </c>
      <c r="E1194" t="s">
        <v>2112</v>
      </c>
      <c r="F1194" t="s">
        <v>4760</v>
      </c>
      <c r="G1194" t="s">
        <v>4749</v>
      </c>
      <c r="H1194" t="str">
        <f>"0161 6536200"</f>
        <v>0161 6536200</v>
      </c>
    </row>
    <row r="1195" spans="1:8">
      <c r="A1195" t="s">
        <v>4746</v>
      </c>
      <c r="B1195" t="s">
        <v>4761</v>
      </c>
      <c r="D1195" t="s">
        <v>440</v>
      </c>
      <c r="E1195" t="s">
        <v>315</v>
      </c>
      <c r="F1195" t="s">
        <v>441</v>
      </c>
      <c r="G1195" t="s">
        <v>4749</v>
      </c>
      <c r="H1195" t="str">
        <f>"01244 405700"</f>
        <v>01244 405700</v>
      </c>
    </row>
    <row r="1196" spans="1:8">
      <c r="A1196" t="s">
        <v>4746</v>
      </c>
      <c r="B1196" t="s">
        <v>4762</v>
      </c>
      <c r="D1196" t="s">
        <v>766</v>
      </c>
      <c r="E1196" t="s">
        <v>2112</v>
      </c>
      <c r="F1196" t="s">
        <v>4763</v>
      </c>
      <c r="G1196" t="s">
        <v>4749</v>
      </c>
      <c r="H1196" t="str">
        <f>"01204 546622"</f>
        <v>01204 546622</v>
      </c>
    </row>
    <row r="1197" spans="1:8">
      <c r="A1197" t="s">
        <v>4764</v>
      </c>
      <c r="B1197" t="s">
        <v>4765</v>
      </c>
      <c r="D1197" t="s">
        <v>4766</v>
      </c>
      <c r="F1197" t="s">
        <v>4767</v>
      </c>
      <c r="G1197" t="s">
        <v>4768</v>
      </c>
      <c r="H1197" t="str">
        <f>"01367 240285"</f>
        <v>01367 240285</v>
      </c>
    </row>
    <row r="1198" spans="1:8">
      <c r="A1198" t="s">
        <v>4764</v>
      </c>
      <c r="B1198" t="s">
        <v>4769</v>
      </c>
      <c r="D1198" t="s">
        <v>4770</v>
      </c>
      <c r="E1198" t="s">
        <v>760</v>
      </c>
      <c r="F1198" t="s">
        <v>4771</v>
      </c>
      <c r="G1198" t="s">
        <v>4768</v>
      </c>
      <c r="H1198" t="str">
        <f>"01367 252644"</f>
        <v>01367 252644</v>
      </c>
    </row>
    <row r="1199" spans="1:8">
      <c r="A1199" t="s">
        <v>4772</v>
      </c>
      <c r="B1199" t="s">
        <v>4773</v>
      </c>
      <c r="D1199" t="s">
        <v>4774</v>
      </c>
      <c r="F1199" t="s">
        <v>4775</v>
      </c>
      <c r="G1199" t="s">
        <v>4776</v>
      </c>
      <c r="H1199" t="str">
        <f>"01443 473213"</f>
        <v>01443 473213</v>
      </c>
    </row>
    <row r="1200" spans="1:8">
      <c r="A1200" t="s">
        <v>4777</v>
      </c>
      <c r="B1200" t="s">
        <v>840</v>
      </c>
      <c r="D1200" t="s">
        <v>741</v>
      </c>
      <c r="E1200" t="s">
        <v>742</v>
      </c>
      <c r="F1200" t="s">
        <v>841</v>
      </c>
      <c r="G1200" t="s">
        <v>4778</v>
      </c>
      <c r="H1200" t="str">
        <f>"01603 616760"</f>
        <v>01603 616760</v>
      </c>
    </row>
    <row r="1201" spans="1:8">
      <c r="A1201" t="s">
        <v>4777</v>
      </c>
      <c r="B1201" t="s">
        <v>4779</v>
      </c>
      <c r="D1201" t="s">
        <v>2063</v>
      </c>
      <c r="E1201" t="s">
        <v>184</v>
      </c>
      <c r="F1201" t="s">
        <v>4780</v>
      </c>
      <c r="G1201" t="s">
        <v>4781</v>
      </c>
      <c r="H1201" t="str">
        <f>"01763 295096"</f>
        <v>01763 295096</v>
      </c>
    </row>
    <row r="1202" spans="1:8">
      <c r="A1202" t="s">
        <v>4782</v>
      </c>
      <c r="B1202" t="s">
        <v>4783</v>
      </c>
      <c r="C1202" t="s">
        <v>4784</v>
      </c>
      <c r="D1202" t="s">
        <v>1054</v>
      </c>
      <c r="E1202" t="s">
        <v>1069</v>
      </c>
      <c r="F1202" t="s">
        <v>4785</v>
      </c>
      <c r="G1202" t="s">
        <v>4786</v>
      </c>
      <c r="H1202" t="str">
        <f>"01792 648111"</f>
        <v>01792 648111</v>
      </c>
    </row>
    <row r="1203" spans="1:8">
      <c r="A1203" t="s">
        <v>4787</v>
      </c>
      <c r="B1203" t="s">
        <v>4788</v>
      </c>
      <c r="D1203" t="s">
        <v>3474</v>
      </c>
      <c r="E1203" t="s">
        <v>616</v>
      </c>
      <c r="F1203" t="s">
        <v>4789</v>
      </c>
      <c r="G1203" t="s">
        <v>4790</v>
      </c>
      <c r="H1203" t="str">
        <f>"01723 364 321"</f>
        <v>01723 364 321</v>
      </c>
    </row>
    <row r="1204" spans="1:8">
      <c r="A1204" t="s">
        <v>4787</v>
      </c>
      <c r="B1204" t="s">
        <v>4791</v>
      </c>
      <c r="D1204" t="s">
        <v>3482</v>
      </c>
      <c r="E1204" t="s">
        <v>616</v>
      </c>
      <c r="F1204" t="s">
        <v>4792</v>
      </c>
      <c r="G1204" t="s">
        <v>4790</v>
      </c>
      <c r="H1204" t="str">
        <f>"01947603465"</f>
        <v>01947603465</v>
      </c>
    </row>
    <row r="1205" spans="1:8">
      <c r="A1205" t="s">
        <v>4787</v>
      </c>
      <c r="B1205" t="s">
        <v>4793</v>
      </c>
      <c r="D1205" t="s">
        <v>3486</v>
      </c>
      <c r="E1205" t="s">
        <v>616</v>
      </c>
      <c r="F1205" t="s">
        <v>4794</v>
      </c>
      <c r="G1205" t="s">
        <v>4790</v>
      </c>
      <c r="H1205" t="str">
        <f>"01723 515555"</f>
        <v>01723 515555</v>
      </c>
    </row>
    <row r="1206" spans="1:8">
      <c r="A1206" t="s">
        <v>4795</v>
      </c>
      <c r="B1206" t="s">
        <v>4796</v>
      </c>
      <c r="C1206" t="s">
        <v>4797</v>
      </c>
      <c r="D1206" t="s">
        <v>57</v>
      </c>
      <c r="F1206" t="s">
        <v>4798</v>
      </c>
      <c r="G1206" t="s">
        <v>4799</v>
      </c>
      <c r="H1206" t="str">
        <f>"02071830084"</f>
        <v>02071830084</v>
      </c>
    </row>
    <row r="1207" spans="1:8">
      <c r="A1207" t="s">
        <v>4800</v>
      </c>
      <c r="B1207" t="s">
        <v>4801</v>
      </c>
      <c r="D1207" t="s">
        <v>4802</v>
      </c>
      <c r="E1207" t="s">
        <v>760</v>
      </c>
      <c r="F1207" t="s">
        <v>4803</v>
      </c>
      <c r="G1207" t="s">
        <v>4804</v>
      </c>
      <c r="H1207" t="str">
        <f>"01295 204122"</f>
        <v>01295 204122</v>
      </c>
    </row>
    <row r="1208" spans="1:8">
      <c r="A1208" t="s">
        <v>4800</v>
      </c>
      <c r="B1208" t="s">
        <v>4805</v>
      </c>
      <c r="D1208" t="s">
        <v>4806</v>
      </c>
      <c r="E1208" t="s">
        <v>1180</v>
      </c>
      <c r="F1208" t="s">
        <v>4807</v>
      </c>
      <c r="G1208" t="s">
        <v>4808</v>
      </c>
      <c r="H1208" t="str">
        <f>"01280 730880"</f>
        <v>01280 730880</v>
      </c>
    </row>
    <row r="1209" spans="1:8">
      <c r="A1209" t="s">
        <v>4800</v>
      </c>
      <c r="B1209" t="s">
        <v>4809</v>
      </c>
      <c r="D1209" t="s">
        <v>4810</v>
      </c>
      <c r="E1209" t="s">
        <v>4811</v>
      </c>
      <c r="F1209" t="s">
        <v>4812</v>
      </c>
      <c r="G1209" t="s">
        <v>4813</v>
      </c>
      <c r="H1209" t="str">
        <f>"01869 252761"</f>
        <v>01869 252761</v>
      </c>
    </row>
    <row r="1210" spans="1:8">
      <c r="A1210" t="s">
        <v>4800</v>
      </c>
      <c r="B1210" t="s">
        <v>269</v>
      </c>
      <c r="C1210" t="s">
        <v>4814</v>
      </c>
      <c r="D1210" t="s">
        <v>4802</v>
      </c>
      <c r="E1210" t="s">
        <v>760</v>
      </c>
      <c r="F1210" t="s">
        <v>4803</v>
      </c>
      <c r="G1210" t="s">
        <v>4815</v>
      </c>
      <c r="H1210" t="str">
        <f>"01295 204000"</f>
        <v>01295 204000</v>
      </c>
    </row>
    <row r="1211" spans="1:8">
      <c r="A1211" t="s">
        <v>4816</v>
      </c>
      <c r="B1211" t="s">
        <v>4817</v>
      </c>
      <c r="D1211" t="s">
        <v>2010</v>
      </c>
      <c r="E1211" t="s">
        <v>2006</v>
      </c>
      <c r="F1211" t="s">
        <v>4818</v>
      </c>
      <c r="G1211" t="s">
        <v>4819</v>
      </c>
      <c r="H1211" t="str">
        <f>"02088662144"</f>
        <v>02088662144</v>
      </c>
    </row>
    <row r="1212" spans="1:8">
      <c r="A1212" t="s">
        <v>4820</v>
      </c>
      <c r="B1212" t="s">
        <v>4821</v>
      </c>
      <c r="C1212" t="s">
        <v>4140</v>
      </c>
      <c r="D1212" t="s">
        <v>4822</v>
      </c>
      <c r="E1212" t="s">
        <v>171</v>
      </c>
      <c r="F1212" t="s">
        <v>4823</v>
      </c>
      <c r="G1212" t="s">
        <v>4824</v>
      </c>
      <c r="H1212" t="str">
        <f>"01634 376555"</f>
        <v>01634 376555</v>
      </c>
    </row>
    <row r="1213" spans="1:8">
      <c r="A1213" t="s">
        <v>4820</v>
      </c>
      <c r="B1213" t="s">
        <v>4825</v>
      </c>
      <c r="C1213" t="s">
        <v>4826</v>
      </c>
      <c r="D1213" t="s">
        <v>4827</v>
      </c>
      <c r="E1213" t="s">
        <v>171</v>
      </c>
      <c r="F1213" t="s">
        <v>4828</v>
      </c>
      <c r="G1213" t="s">
        <v>4829</v>
      </c>
      <c r="H1213" t="str">
        <f>"01634 739195"</f>
        <v>01634 739195</v>
      </c>
    </row>
    <row r="1214" spans="1:8">
      <c r="A1214" t="s">
        <v>4830</v>
      </c>
      <c r="B1214" t="s">
        <v>4831</v>
      </c>
      <c r="D1214" t="s">
        <v>52</v>
      </c>
      <c r="E1214" t="s">
        <v>53</v>
      </c>
      <c r="F1214" t="s">
        <v>4832</v>
      </c>
      <c r="G1214" t="s">
        <v>4833</v>
      </c>
      <c r="H1214" t="str">
        <f>"01452 521286"</f>
        <v>01452 521286</v>
      </c>
    </row>
    <row r="1215" spans="1:8">
      <c r="A1215" t="s">
        <v>4830</v>
      </c>
      <c r="B1215" t="s">
        <v>4834</v>
      </c>
      <c r="D1215" t="s">
        <v>158</v>
      </c>
      <c r="E1215" t="s">
        <v>53</v>
      </c>
      <c r="F1215" t="s">
        <v>4835</v>
      </c>
      <c r="G1215" t="s">
        <v>4836</v>
      </c>
      <c r="H1215" t="str">
        <f>"01242 269998"</f>
        <v>01242 269998</v>
      </c>
    </row>
    <row r="1216" spans="1:8">
      <c r="A1216" t="s">
        <v>4837</v>
      </c>
      <c r="B1216" t="s">
        <v>4838</v>
      </c>
      <c r="D1216" t="s">
        <v>3223</v>
      </c>
      <c r="E1216" t="s">
        <v>164</v>
      </c>
      <c r="F1216" t="s">
        <v>4839</v>
      </c>
      <c r="G1216" t="s">
        <v>4840</v>
      </c>
      <c r="H1216" t="str">
        <f>"01305 768888"</f>
        <v>01305 768888</v>
      </c>
    </row>
    <row r="1217" spans="1:8">
      <c r="A1217" t="s">
        <v>4837</v>
      </c>
      <c r="B1217" t="s">
        <v>4841</v>
      </c>
      <c r="C1217" t="s">
        <v>4842</v>
      </c>
      <c r="D1217" t="s">
        <v>1572</v>
      </c>
      <c r="E1217" t="s">
        <v>164</v>
      </c>
      <c r="F1217" t="s">
        <v>4843</v>
      </c>
      <c r="G1217" t="s">
        <v>4840</v>
      </c>
      <c r="H1217" t="str">
        <f>"01305 768888"</f>
        <v>01305 768888</v>
      </c>
    </row>
    <row r="1218" spans="1:8">
      <c r="A1218" t="s">
        <v>4844</v>
      </c>
      <c r="B1218" t="s">
        <v>4845</v>
      </c>
      <c r="D1218" t="s">
        <v>1179</v>
      </c>
      <c r="E1218" t="s">
        <v>1180</v>
      </c>
      <c r="F1218" t="s">
        <v>4846</v>
      </c>
      <c r="G1218" t="s">
        <v>4847</v>
      </c>
      <c r="H1218" t="str">
        <f>"03700 863000"</f>
        <v>03700 863000</v>
      </c>
    </row>
    <row r="1219" spans="1:8">
      <c r="A1219" t="s">
        <v>4844</v>
      </c>
      <c r="B1219" t="s">
        <v>4848</v>
      </c>
      <c r="C1219" t="s">
        <v>4374</v>
      </c>
      <c r="D1219" t="s">
        <v>120</v>
      </c>
      <c r="E1219" t="s">
        <v>121</v>
      </c>
      <c r="F1219" t="s">
        <v>4849</v>
      </c>
      <c r="G1219" t="s">
        <v>4850</v>
      </c>
      <c r="H1219" t="str">
        <f>"03700 866800"</f>
        <v>03700 866800</v>
      </c>
    </row>
    <row r="1220" spans="1:8">
      <c r="A1220" t="s">
        <v>4844</v>
      </c>
      <c r="B1220" t="s">
        <v>4851</v>
      </c>
      <c r="D1220" t="s">
        <v>355</v>
      </c>
      <c r="F1220" t="s">
        <v>4852</v>
      </c>
      <c r="G1220" t="s">
        <v>4850</v>
      </c>
      <c r="H1220" t="str">
        <f>"03700 86 7300"</f>
        <v>03700 86 7300</v>
      </c>
    </row>
    <row r="1221" spans="1:8">
      <c r="A1221" t="s">
        <v>4853</v>
      </c>
      <c r="B1221" t="s">
        <v>4854</v>
      </c>
      <c r="D1221" t="s">
        <v>57</v>
      </c>
      <c r="F1221" t="s">
        <v>4855</v>
      </c>
      <c r="G1221" t="s">
        <v>4856</v>
      </c>
      <c r="H1221" t="str">
        <f>"020 7769 6724"</f>
        <v>020 7769 6724</v>
      </c>
    </row>
    <row r="1222" spans="1:8">
      <c r="A1222" t="s">
        <v>4857</v>
      </c>
      <c r="B1222" t="s">
        <v>4858</v>
      </c>
      <c r="C1222" t="s">
        <v>4859</v>
      </c>
      <c r="D1222" t="s">
        <v>52</v>
      </c>
      <c r="E1222" t="s">
        <v>53</v>
      </c>
      <c r="F1222" t="s">
        <v>4860</v>
      </c>
      <c r="G1222" t="s">
        <v>4861</v>
      </c>
      <c r="H1222" t="str">
        <f>"01452 617288"</f>
        <v>01452 617288</v>
      </c>
    </row>
    <row r="1223" spans="1:8">
      <c r="A1223" t="s">
        <v>4857</v>
      </c>
      <c r="B1223" t="s">
        <v>4862</v>
      </c>
      <c r="C1223" t="s">
        <v>447</v>
      </c>
      <c r="D1223" t="s">
        <v>52</v>
      </c>
      <c r="E1223" t="s">
        <v>53</v>
      </c>
      <c r="F1223" t="s">
        <v>4863</v>
      </c>
      <c r="G1223" t="s">
        <v>4861</v>
      </c>
      <c r="H1223" t="str">
        <f>"01452 724 343"</f>
        <v>01452 724 343</v>
      </c>
    </row>
    <row r="1224" spans="1:8">
      <c r="A1224" t="s">
        <v>4857</v>
      </c>
      <c r="B1224" t="s">
        <v>4864</v>
      </c>
      <c r="C1224" t="s">
        <v>4865</v>
      </c>
      <c r="D1224" t="s">
        <v>158</v>
      </c>
      <c r="E1224" t="s">
        <v>53</v>
      </c>
      <c r="F1224" t="s">
        <v>4866</v>
      </c>
      <c r="G1224" t="s">
        <v>4861</v>
      </c>
      <c r="H1224" t="str">
        <f>"01242 240560 "</f>
        <v xml:space="preserve">01242 240560 </v>
      </c>
    </row>
    <row r="1225" spans="1:8">
      <c r="A1225" t="s">
        <v>4857</v>
      </c>
      <c r="B1225" t="s">
        <v>4868</v>
      </c>
      <c r="D1225" t="s">
        <v>4867</v>
      </c>
      <c r="F1225" t="s">
        <v>4869</v>
      </c>
      <c r="G1225" t="s">
        <v>4870</v>
      </c>
      <c r="H1225" t="str">
        <f>"01453388001"</f>
        <v>01453388001</v>
      </c>
    </row>
    <row r="1226" spans="1:8">
      <c r="A1226" t="s">
        <v>4857</v>
      </c>
      <c r="B1226" t="s">
        <v>4871</v>
      </c>
      <c r="C1226" t="s">
        <v>4872</v>
      </c>
      <c r="D1226" t="s">
        <v>20</v>
      </c>
      <c r="F1226" t="s">
        <v>4873</v>
      </c>
      <c r="G1226" t="s">
        <v>4870</v>
      </c>
      <c r="H1226" t="str">
        <f>"01905372120"</f>
        <v>01905372120</v>
      </c>
    </row>
    <row r="1227" spans="1:8">
      <c r="A1227" t="s">
        <v>4874</v>
      </c>
      <c r="B1227" t="s">
        <v>4875</v>
      </c>
      <c r="C1227" t="s">
        <v>4876</v>
      </c>
      <c r="D1227" t="s">
        <v>171</v>
      </c>
      <c r="F1227" t="s">
        <v>4877</v>
      </c>
      <c r="G1227" t="s">
        <v>4878</v>
      </c>
      <c r="H1227" t="str">
        <f>"01474 324 529"</f>
        <v>01474 324 529</v>
      </c>
    </row>
    <row r="1228" spans="1:8">
      <c r="A1228" t="s">
        <v>4874</v>
      </c>
      <c r="B1228" t="s">
        <v>4880</v>
      </c>
      <c r="D1228" t="s">
        <v>4879</v>
      </c>
      <c r="E1228" t="s">
        <v>171</v>
      </c>
      <c r="F1228" t="s">
        <v>4881</v>
      </c>
      <c r="G1228" t="s">
        <v>4878</v>
      </c>
      <c r="H1228" t="str">
        <f>"01689 870 769"</f>
        <v>01689 870 769</v>
      </c>
    </row>
    <row r="1229" spans="1:8">
      <c r="A1229" t="s">
        <v>4874</v>
      </c>
      <c r="B1229" t="s">
        <v>4882</v>
      </c>
      <c r="D1229" t="s">
        <v>2540</v>
      </c>
      <c r="E1229" t="s">
        <v>171</v>
      </c>
      <c r="F1229" t="s">
        <v>3439</v>
      </c>
      <c r="G1229" t="s">
        <v>4878</v>
      </c>
      <c r="H1229" t="str">
        <f>"01732 207207"</f>
        <v>01732 207207</v>
      </c>
    </row>
    <row r="1230" spans="1:8">
      <c r="A1230" t="s">
        <v>4874</v>
      </c>
      <c r="B1230" t="s">
        <v>4884</v>
      </c>
      <c r="D1230" t="s">
        <v>4883</v>
      </c>
      <c r="E1230" t="s">
        <v>3431</v>
      </c>
      <c r="F1230" t="s">
        <v>4885</v>
      </c>
      <c r="G1230" t="s">
        <v>4886</v>
      </c>
      <c r="H1230" t="str">
        <f>"01959 577000"</f>
        <v>01959 577000</v>
      </c>
    </row>
    <row r="1231" spans="1:8">
      <c r="A1231" t="s">
        <v>4887</v>
      </c>
      <c r="B1231" t="s">
        <v>2129</v>
      </c>
      <c r="C1231" t="s">
        <v>2379</v>
      </c>
      <c r="D1231" t="s">
        <v>575</v>
      </c>
      <c r="E1231" t="s">
        <v>520</v>
      </c>
      <c r="F1231" t="s">
        <v>4888</v>
      </c>
      <c r="G1231" t="s">
        <v>4889</v>
      </c>
      <c r="H1231" t="str">
        <f>"01825 747163"</f>
        <v>01825 747163</v>
      </c>
    </row>
    <row r="1232" spans="1:8">
      <c r="A1232" t="s">
        <v>4890</v>
      </c>
      <c r="B1232" t="s">
        <v>4891</v>
      </c>
      <c r="D1232" t="s">
        <v>4892</v>
      </c>
      <c r="E1232" t="s">
        <v>971</v>
      </c>
      <c r="F1232" t="s">
        <v>4893</v>
      </c>
      <c r="G1232" t="s">
        <v>4894</v>
      </c>
      <c r="H1232" t="str">
        <f>"01531 633222"</f>
        <v>01531 633222</v>
      </c>
    </row>
    <row r="1233" spans="1:8">
      <c r="A1233" t="s">
        <v>4890</v>
      </c>
      <c r="B1233" t="s">
        <v>4895</v>
      </c>
      <c r="D1233" t="s">
        <v>466</v>
      </c>
      <c r="E1233" t="s">
        <v>53</v>
      </c>
      <c r="F1233" t="s">
        <v>4896</v>
      </c>
      <c r="G1233" t="s">
        <v>4894</v>
      </c>
      <c r="H1233" t="str">
        <f>"01684 850750"</f>
        <v>01684 850750</v>
      </c>
    </row>
    <row r="1234" spans="1:8">
      <c r="A1234" t="s">
        <v>4890</v>
      </c>
      <c r="B1234" t="s">
        <v>4897</v>
      </c>
      <c r="D1234" t="s">
        <v>451</v>
      </c>
      <c r="E1234" t="s">
        <v>53</v>
      </c>
      <c r="F1234" t="s">
        <v>4898</v>
      </c>
      <c r="G1234" t="s">
        <v>4894</v>
      </c>
      <c r="H1234" t="str">
        <f>"01453 757435"</f>
        <v>01453 757435</v>
      </c>
    </row>
    <row r="1235" spans="1:8">
      <c r="A1235" t="s">
        <v>4890</v>
      </c>
      <c r="B1235" t="s">
        <v>4900</v>
      </c>
      <c r="D1235" t="s">
        <v>4899</v>
      </c>
      <c r="E1235" t="s">
        <v>53</v>
      </c>
      <c r="F1235" t="s">
        <v>4901</v>
      </c>
      <c r="G1235" t="s">
        <v>4894</v>
      </c>
      <c r="H1235" t="str">
        <f>"01531 820088"</f>
        <v>01531 820088</v>
      </c>
    </row>
    <row r="1236" spans="1:8">
      <c r="A1236" t="s">
        <v>4890</v>
      </c>
      <c r="B1236" t="s">
        <v>4902</v>
      </c>
      <c r="D1236" t="s">
        <v>52</v>
      </c>
      <c r="F1236" t="s">
        <v>4903</v>
      </c>
      <c r="G1236" t="s">
        <v>4894</v>
      </c>
      <c r="H1236" t="str">
        <f>"01452 520224"</f>
        <v>01452 520224</v>
      </c>
    </row>
    <row r="1237" spans="1:8">
      <c r="A1237" t="s">
        <v>4904</v>
      </c>
      <c r="B1237" t="s">
        <v>4905</v>
      </c>
      <c r="D1237" t="s">
        <v>4906</v>
      </c>
      <c r="E1237" t="s">
        <v>4907</v>
      </c>
      <c r="F1237" t="s">
        <v>4908</v>
      </c>
      <c r="G1237" t="s">
        <v>4909</v>
      </c>
      <c r="H1237" t="str">
        <f>"01708 784000"</f>
        <v>01708 784000</v>
      </c>
    </row>
    <row r="1238" spans="1:8">
      <c r="A1238" t="s">
        <v>4904</v>
      </c>
      <c r="B1238" t="s">
        <v>4910</v>
      </c>
      <c r="D1238" t="s">
        <v>4911</v>
      </c>
      <c r="E1238" t="s">
        <v>4912</v>
      </c>
      <c r="F1238" t="s">
        <v>4913</v>
      </c>
      <c r="G1238" t="s">
        <v>4909</v>
      </c>
      <c r="H1238" t="str">
        <f>"01277 245015"</f>
        <v>01277 245015</v>
      </c>
    </row>
    <row r="1239" spans="1:8">
      <c r="A1239" t="s">
        <v>4914</v>
      </c>
      <c r="B1239" t="s">
        <v>4915</v>
      </c>
      <c r="D1239" t="s">
        <v>4916</v>
      </c>
      <c r="E1239" t="s">
        <v>775</v>
      </c>
      <c r="F1239" t="s">
        <v>4917</v>
      </c>
      <c r="G1239" t="s">
        <v>4918</v>
      </c>
      <c r="H1239" t="str">
        <f>"01162608990"</f>
        <v>01162608990</v>
      </c>
    </row>
    <row r="1240" spans="1:8">
      <c r="A1240" t="s">
        <v>4919</v>
      </c>
      <c r="B1240" t="s">
        <v>4920</v>
      </c>
      <c r="C1240" t="s">
        <v>4921</v>
      </c>
      <c r="D1240" t="s">
        <v>2710</v>
      </c>
      <c r="E1240" t="s">
        <v>893</v>
      </c>
      <c r="F1240" t="s">
        <v>4922</v>
      </c>
      <c r="G1240" t="s">
        <v>4923</v>
      </c>
      <c r="H1240" t="str">
        <f>"0151 6789090"</f>
        <v>0151 6789090</v>
      </c>
    </row>
    <row r="1241" spans="1:8">
      <c r="A1241" t="s">
        <v>4919</v>
      </c>
      <c r="B1241" t="s">
        <v>4924</v>
      </c>
      <c r="D1241" t="s">
        <v>2592</v>
      </c>
      <c r="E1241" t="s">
        <v>893</v>
      </c>
      <c r="F1241" t="s">
        <v>4925</v>
      </c>
      <c r="G1241" t="s">
        <v>4923</v>
      </c>
      <c r="H1241" t="str">
        <f>"0151 6476323"</f>
        <v>0151 6476323</v>
      </c>
    </row>
    <row r="1242" spans="1:8">
      <c r="A1242" t="s">
        <v>4919</v>
      </c>
      <c r="B1242" t="s">
        <v>4926</v>
      </c>
      <c r="D1242" t="s">
        <v>4927</v>
      </c>
      <c r="E1242" t="s">
        <v>893</v>
      </c>
      <c r="F1242" t="s">
        <v>4928</v>
      </c>
      <c r="G1242" t="s">
        <v>4929</v>
      </c>
      <c r="H1242" t="str">
        <f>"0151 632 2336"</f>
        <v>0151 632 2336</v>
      </c>
    </row>
    <row r="1243" spans="1:8">
      <c r="A1243" t="s">
        <v>4919</v>
      </c>
      <c r="B1243" t="s">
        <v>4931</v>
      </c>
      <c r="C1243" t="s">
        <v>4930</v>
      </c>
      <c r="D1243" t="s">
        <v>2710</v>
      </c>
      <c r="E1243" t="s">
        <v>893</v>
      </c>
      <c r="F1243" t="s">
        <v>4932</v>
      </c>
      <c r="G1243" t="s">
        <v>4933</v>
      </c>
      <c r="H1243" t="str">
        <f>"0151 648 7111"</f>
        <v>0151 648 7111</v>
      </c>
    </row>
    <row r="1244" spans="1:8">
      <c r="A1244" t="s">
        <v>4934</v>
      </c>
      <c r="B1244" t="s">
        <v>4935</v>
      </c>
      <c r="C1244" t="s">
        <v>4936</v>
      </c>
      <c r="D1244" t="s">
        <v>104</v>
      </c>
      <c r="E1244" t="s">
        <v>106</v>
      </c>
      <c r="F1244" t="s">
        <v>4937</v>
      </c>
      <c r="G1244" t="s">
        <v>4938</v>
      </c>
      <c r="H1244" t="str">
        <f>"01952 278103"</f>
        <v>01952 278103</v>
      </c>
    </row>
    <row r="1245" spans="1:8">
      <c r="A1245" t="s">
        <v>4934</v>
      </c>
      <c r="B1245" t="s">
        <v>4939</v>
      </c>
      <c r="C1245" t="s">
        <v>1608</v>
      </c>
      <c r="D1245" t="s">
        <v>104</v>
      </c>
      <c r="E1245" t="s">
        <v>106</v>
      </c>
      <c r="F1245" t="s">
        <v>4940</v>
      </c>
      <c r="G1245" t="s">
        <v>4941</v>
      </c>
      <c r="H1245" t="str">
        <f>"01952 223548"</f>
        <v>01952 223548</v>
      </c>
    </row>
    <row r="1246" spans="1:8">
      <c r="A1246" t="s">
        <v>4934</v>
      </c>
      <c r="B1246" t="s">
        <v>4942</v>
      </c>
      <c r="D1246" t="s">
        <v>1616</v>
      </c>
      <c r="E1246" t="s">
        <v>106</v>
      </c>
      <c r="F1246" t="s">
        <v>4943</v>
      </c>
      <c r="G1246" t="s">
        <v>4944</v>
      </c>
      <c r="H1246" t="str">
        <f>"01952 281060"</f>
        <v>01952 281060</v>
      </c>
    </row>
    <row r="1247" spans="1:8">
      <c r="A1247" t="s">
        <v>4934</v>
      </c>
      <c r="B1247" t="s">
        <v>4945</v>
      </c>
      <c r="D1247" t="s">
        <v>1103</v>
      </c>
      <c r="E1247" t="s">
        <v>106</v>
      </c>
      <c r="F1247" t="s">
        <v>4946</v>
      </c>
      <c r="G1247" t="s">
        <v>4947</v>
      </c>
      <c r="H1247" t="str">
        <f>"01743 231531"</f>
        <v>01743 231531</v>
      </c>
    </row>
    <row r="1248" spans="1:8">
      <c r="A1248" t="s">
        <v>4934</v>
      </c>
      <c r="B1248" t="s">
        <v>4948</v>
      </c>
      <c r="D1248" t="s">
        <v>1612</v>
      </c>
      <c r="E1248" t="s">
        <v>106</v>
      </c>
      <c r="F1248" t="s">
        <v>4949</v>
      </c>
      <c r="G1248" t="s">
        <v>4950</v>
      </c>
      <c r="H1248" t="str">
        <f>"01952 466244"</f>
        <v>01952 466244</v>
      </c>
    </row>
    <row r="1249" spans="1:8">
      <c r="A1249" t="s">
        <v>4951</v>
      </c>
      <c r="B1249" t="s">
        <v>4952</v>
      </c>
      <c r="D1249" t="s">
        <v>1553</v>
      </c>
      <c r="E1249" t="s">
        <v>164</v>
      </c>
      <c r="F1249" t="s">
        <v>4953</v>
      </c>
      <c r="G1249" t="s">
        <v>4954</v>
      </c>
      <c r="H1249" t="str">
        <f>"01202557256"</f>
        <v>01202557256</v>
      </c>
    </row>
    <row r="1250" spans="1:8">
      <c r="A1250" t="s">
        <v>4951</v>
      </c>
      <c r="B1250" t="s">
        <v>4955</v>
      </c>
      <c r="D1250" t="s">
        <v>1553</v>
      </c>
      <c r="E1250" t="s">
        <v>164</v>
      </c>
      <c r="F1250" t="s">
        <v>4956</v>
      </c>
      <c r="G1250" t="s">
        <v>4957</v>
      </c>
      <c r="H1250" t="str">
        <f>"01202 377800"</f>
        <v>01202 377800</v>
      </c>
    </row>
    <row r="1251" spans="1:8">
      <c r="A1251" t="s">
        <v>4958</v>
      </c>
      <c r="B1251" t="s">
        <v>4959</v>
      </c>
      <c r="D1251" t="s">
        <v>57</v>
      </c>
      <c r="F1251" t="s">
        <v>4960</v>
      </c>
      <c r="G1251" t="s">
        <v>4961</v>
      </c>
      <c r="H1251" t="str">
        <f>"020 7034 4200"</f>
        <v>020 7034 4200</v>
      </c>
    </row>
    <row r="1252" spans="1:8">
      <c r="A1252" t="s">
        <v>4962</v>
      </c>
      <c r="B1252" t="s">
        <v>93</v>
      </c>
      <c r="D1252" t="s">
        <v>4963</v>
      </c>
      <c r="E1252" t="s">
        <v>200</v>
      </c>
      <c r="F1252" t="s">
        <v>4964</v>
      </c>
      <c r="G1252" t="s">
        <v>4965</v>
      </c>
      <c r="H1252" t="str">
        <f>"0129 377 1521"</f>
        <v>0129 377 1521</v>
      </c>
    </row>
    <row r="1253" spans="1:8">
      <c r="A1253" t="s">
        <v>4962</v>
      </c>
      <c r="B1253" t="s">
        <v>4966</v>
      </c>
      <c r="D1253" t="s">
        <v>1756</v>
      </c>
      <c r="E1253" t="s">
        <v>200</v>
      </c>
      <c r="F1253" t="s">
        <v>4967</v>
      </c>
      <c r="G1253" t="s">
        <v>4968</v>
      </c>
      <c r="H1253" t="str">
        <f>"01737221152"</f>
        <v>01737221152</v>
      </c>
    </row>
    <row r="1254" spans="1:8">
      <c r="A1254" t="s">
        <v>4969</v>
      </c>
      <c r="B1254" t="s">
        <v>4970</v>
      </c>
      <c r="C1254" t="s">
        <v>495</v>
      </c>
      <c r="D1254" t="s">
        <v>3655</v>
      </c>
      <c r="E1254" t="s">
        <v>171</v>
      </c>
      <c r="F1254" t="s">
        <v>4971</v>
      </c>
      <c r="G1254" t="s">
        <v>4972</v>
      </c>
      <c r="H1254" t="str">
        <f>"01304 212206"</f>
        <v>01304 212206</v>
      </c>
    </row>
    <row r="1255" spans="1:8">
      <c r="A1255" t="s">
        <v>4973</v>
      </c>
      <c r="B1255" t="s">
        <v>4974</v>
      </c>
      <c r="C1255" t="s">
        <v>4975</v>
      </c>
      <c r="D1255" t="s">
        <v>14</v>
      </c>
      <c r="E1255" t="s">
        <v>16</v>
      </c>
      <c r="F1255" t="s">
        <v>4976</v>
      </c>
      <c r="G1255" t="s">
        <v>4977</v>
      </c>
      <c r="H1255" t="str">
        <f>"0121 3561161"</f>
        <v>0121 3561161</v>
      </c>
    </row>
    <row r="1256" spans="1:8">
      <c r="A1256" t="s">
        <v>4973</v>
      </c>
      <c r="B1256" t="s">
        <v>4979</v>
      </c>
      <c r="D1256" t="s">
        <v>4978</v>
      </c>
      <c r="E1256" t="s">
        <v>11</v>
      </c>
      <c r="F1256" t="s">
        <v>4980</v>
      </c>
      <c r="G1256" t="s">
        <v>4981</v>
      </c>
      <c r="H1256" t="str">
        <f>"01527 61967"</f>
        <v>01527 61967</v>
      </c>
    </row>
    <row r="1257" spans="1:8">
      <c r="A1257" t="s">
        <v>4982</v>
      </c>
      <c r="B1257" t="s">
        <v>4983</v>
      </c>
      <c r="D1257" t="s">
        <v>152</v>
      </c>
      <c r="E1257" t="s">
        <v>153</v>
      </c>
      <c r="F1257" t="s">
        <v>4984</v>
      </c>
      <c r="G1257" t="s">
        <v>4985</v>
      </c>
      <c r="H1257" t="str">
        <f>"01189 598974"</f>
        <v>01189 598974</v>
      </c>
    </row>
    <row r="1258" spans="1:8">
      <c r="A1258" t="s">
        <v>4982</v>
      </c>
      <c r="B1258" t="s">
        <v>4986</v>
      </c>
      <c r="C1258" t="s">
        <v>4987</v>
      </c>
      <c r="D1258" t="s">
        <v>152</v>
      </c>
      <c r="E1258" t="s">
        <v>153</v>
      </c>
      <c r="F1258" t="s">
        <v>4988</v>
      </c>
      <c r="G1258" t="s">
        <v>4985</v>
      </c>
      <c r="H1258" t="str">
        <f>"01189448898"</f>
        <v>01189448898</v>
      </c>
    </row>
    <row r="1259" spans="1:8">
      <c r="A1259" t="s">
        <v>4982</v>
      </c>
      <c r="B1259" t="s">
        <v>4989</v>
      </c>
      <c r="C1259" t="s">
        <v>4990</v>
      </c>
      <c r="D1259" t="s">
        <v>152</v>
      </c>
      <c r="E1259" t="s">
        <v>153</v>
      </c>
      <c r="F1259" t="s">
        <v>4991</v>
      </c>
      <c r="G1259" t="s">
        <v>4985</v>
      </c>
      <c r="H1259" t="str">
        <f>"01189479535"</f>
        <v>01189479535</v>
      </c>
    </row>
    <row r="1260" spans="1:8">
      <c r="A1260" t="s">
        <v>4992</v>
      </c>
      <c r="B1260" t="s">
        <v>4993</v>
      </c>
      <c r="D1260" t="s">
        <v>4994</v>
      </c>
      <c r="E1260" t="s">
        <v>990</v>
      </c>
      <c r="F1260" t="s">
        <v>4995</v>
      </c>
      <c r="G1260" t="s">
        <v>4996</v>
      </c>
      <c r="H1260" t="str">
        <f>"01494 451355"</f>
        <v>01494 451355</v>
      </c>
    </row>
    <row r="1261" spans="1:8">
      <c r="A1261" t="s">
        <v>4992</v>
      </c>
      <c r="B1261" t="s">
        <v>4997</v>
      </c>
      <c r="D1261" t="s">
        <v>57</v>
      </c>
      <c r="F1261" t="s">
        <v>4998</v>
      </c>
      <c r="G1261" t="s">
        <v>4999</v>
      </c>
      <c r="H1261" t="str">
        <f>"020 3443 9576"</f>
        <v>020 3443 9576</v>
      </c>
    </row>
    <row r="1262" spans="1:8">
      <c r="A1262" t="s">
        <v>5000</v>
      </c>
      <c r="B1262" t="s">
        <v>5001</v>
      </c>
      <c r="D1262" t="s">
        <v>5002</v>
      </c>
      <c r="E1262" t="s">
        <v>742</v>
      </c>
      <c r="F1262" t="s">
        <v>5003</v>
      </c>
      <c r="G1262" t="s">
        <v>5004</v>
      </c>
      <c r="H1262" t="str">
        <f>"01553778100"</f>
        <v>01553778100</v>
      </c>
    </row>
    <row r="1263" spans="1:8">
      <c r="A1263" t="s">
        <v>5000</v>
      </c>
      <c r="B1263" t="s">
        <v>5005</v>
      </c>
      <c r="D1263" t="s">
        <v>5006</v>
      </c>
      <c r="E1263" t="s">
        <v>742</v>
      </c>
      <c r="F1263" t="s">
        <v>5007</v>
      </c>
      <c r="G1263" t="s">
        <v>5004</v>
      </c>
      <c r="H1263" t="str">
        <f>"01842 756100"</f>
        <v>01842 756100</v>
      </c>
    </row>
    <row r="1264" spans="1:8">
      <c r="A1264" t="s">
        <v>5000</v>
      </c>
      <c r="B1264" t="s">
        <v>5008</v>
      </c>
      <c r="C1264" t="s">
        <v>5009</v>
      </c>
      <c r="D1264" t="s">
        <v>368</v>
      </c>
      <c r="E1264" t="s">
        <v>369</v>
      </c>
      <c r="F1264" t="s">
        <v>1098</v>
      </c>
      <c r="G1264" t="s">
        <v>5004</v>
      </c>
      <c r="H1264" t="str">
        <f>"01733 865880"</f>
        <v>01733 865880</v>
      </c>
    </row>
    <row r="1265" spans="1:8">
      <c r="A1265" t="s">
        <v>5000</v>
      </c>
      <c r="B1265" t="s">
        <v>5010</v>
      </c>
      <c r="D1265" t="s">
        <v>5011</v>
      </c>
      <c r="E1265" t="s">
        <v>369</v>
      </c>
      <c r="F1265" t="s">
        <v>5012</v>
      </c>
      <c r="G1265" t="s">
        <v>5013</v>
      </c>
      <c r="H1265" t="str">
        <f>"01945 464331"</f>
        <v>01945 464331</v>
      </c>
    </row>
    <row r="1266" spans="1:8">
      <c r="A1266" t="s">
        <v>5000</v>
      </c>
      <c r="B1266" t="s">
        <v>5014</v>
      </c>
      <c r="C1266" t="s">
        <v>5015</v>
      </c>
      <c r="D1266" t="s">
        <v>954</v>
      </c>
      <c r="E1266" t="s">
        <v>5016</v>
      </c>
      <c r="F1266" t="s">
        <v>5017</v>
      </c>
      <c r="G1266" t="s">
        <v>5004</v>
      </c>
      <c r="H1266" t="str">
        <f>"01353 666075"</f>
        <v>01353 666075</v>
      </c>
    </row>
    <row r="1267" spans="1:8">
      <c r="A1267" t="s">
        <v>5018</v>
      </c>
      <c r="B1267" t="s">
        <v>5019</v>
      </c>
      <c r="C1267" t="s">
        <v>5020</v>
      </c>
      <c r="D1267" t="s">
        <v>217</v>
      </c>
      <c r="F1267" t="s">
        <v>5021</v>
      </c>
      <c r="G1267" t="s">
        <v>5022</v>
      </c>
      <c r="H1267" t="str">
        <f>"02076131402"</f>
        <v>02076131402</v>
      </c>
    </row>
    <row r="1268" spans="1:8">
      <c r="A1268" t="s">
        <v>5018</v>
      </c>
      <c r="B1268" t="s">
        <v>5023</v>
      </c>
      <c r="D1268" t="s">
        <v>297</v>
      </c>
      <c r="F1268" t="s">
        <v>5024</v>
      </c>
      <c r="G1268" t="s">
        <v>5025</v>
      </c>
      <c r="H1268" t="str">
        <f>"0207 613 1402"</f>
        <v>0207 613 1402</v>
      </c>
    </row>
    <row r="1269" spans="1:8">
      <c r="A1269" t="s">
        <v>5018</v>
      </c>
      <c r="B1269" t="s">
        <v>5026</v>
      </c>
      <c r="C1269" t="s">
        <v>5027</v>
      </c>
      <c r="D1269" t="s">
        <v>549</v>
      </c>
      <c r="F1269" t="s">
        <v>5028</v>
      </c>
      <c r="G1269" t="s">
        <v>5029</v>
      </c>
      <c r="H1269" t="str">
        <f>"01392 715 314"</f>
        <v>01392 715 314</v>
      </c>
    </row>
    <row r="1270" spans="1:8">
      <c r="A1270" t="s">
        <v>5018</v>
      </c>
      <c r="B1270" t="s">
        <v>5030</v>
      </c>
      <c r="D1270" t="s">
        <v>874</v>
      </c>
      <c r="F1270" t="s">
        <v>5031</v>
      </c>
      <c r="G1270" t="s">
        <v>5032</v>
      </c>
      <c r="H1270" t="str">
        <f>"0207 871 8248 "</f>
        <v xml:space="preserve">0207 871 8248 </v>
      </c>
    </row>
    <row r="1271" spans="1:8">
      <c r="A1271" t="s">
        <v>5033</v>
      </c>
      <c r="B1271" t="s">
        <v>5034</v>
      </c>
      <c r="C1271" t="s">
        <v>5035</v>
      </c>
      <c r="D1271" t="s">
        <v>217</v>
      </c>
      <c r="E1271" t="s">
        <v>57</v>
      </c>
      <c r="F1271" t="s">
        <v>5036</v>
      </c>
      <c r="G1271" t="s">
        <v>5037</v>
      </c>
      <c r="H1271" t="str">
        <f>"02088590936"</f>
        <v>02088590936</v>
      </c>
    </row>
    <row r="1272" spans="1:8">
      <c r="A1272" t="s">
        <v>5033</v>
      </c>
      <c r="B1272" t="s">
        <v>5038</v>
      </c>
      <c r="C1272" t="s">
        <v>5039</v>
      </c>
      <c r="D1272" t="s">
        <v>5040</v>
      </c>
      <c r="E1272" t="s">
        <v>171</v>
      </c>
      <c r="F1272" t="s">
        <v>5041</v>
      </c>
      <c r="G1272" t="s">
        <v>5037</v>
      </c>
      <c r="H1272" t="str">
        <f>"01322223223"</f>
        <v>01322223223</v>
      </c>
    </row>
    <row r="1273" spans="1:8">
      <c r="A1273" t="s">
        <v>5033</v>
      </c>
      <c r="B1273" t="s">
        <v>5042</v>
      </c>
      <c r="C1273" t="s">
        <v>5043</v>
      </c>
      <c r="D1273" t="s">
        <v>5044</v>
      </c>
      <c r="E1273" t="s">
        <v>5045</v>
      </c>
      <c r="F1273" t="s">
        <v>5046</v>
      </c>
      <c r="G1273" t="s">
        <v>5037</v>
      </c>
      <c r="H1273" t="str">
        <f>"01622 687777"</f>
        <v>01622 687777</v>
      </c>
    </row>
    <row r="1274" spans="1:8">
      <c r="A1274" t="s">
        <v>5047</v>
      </c>
      <c r="B1274" t="s">
        <v>5048</v>
      </c>
      <c r="D1274" t="s">
        <v>3131</v>
      </c>
      <c r="E1274" t="s">
        <v>309</v>
      </c>
      <c r="F1274" t="s">
        <v>5049</v>
      </c>
      <c r="G1274" t="s">
        <v>5050</v>
      </c>
      <c r="H1274" t="str">
        <f>"01803 862233"</f>
        <v>01803 862233</v>
      </c>
    </row>
    <row r="1275" spans="1:8">
      <c r="A1275" t="s">
        <v>5047</v>
      </c>
      <c r="B1275" t="s">
        <v>5051</v>
      </c>
      <c r="D1275" t="s">
        <v>1511</v>
      </c>
      <c r="E1275" t="s">
        <v>309</v>
      </c>
      <c r="F1275" t="s">
        <v>5052</v>
      </c>
      <c r="G1275" t="s">
        <v>5053</v>
      </c>
      <c r="H1275" t="str">
        <f>"01548 852727"</f>
        <v>01548 852727</v>
      </c>
    </row>
    <row r="1276" spans="1:8">
      <c r="A1276" t="s">
        <v>5054</v>
      </c>
      <c r="B1276" t="s">
        <v>5055</v>
      </c>
      <c r="D1276" t="s">
        <v>1520</v>
      </c>
      <c r="E1276" t="s">
        <v>280</v>
      </c>
      <c r="F1276" t="s">
        <v>5056</v>
      </c>
      <c r="G1276" t="s">
        <v>5057</v>
      </c>
      <c r="H1276" t="str">
        <f>"01422 330000"</f>
        <v>01422 330000</v>
      </c>
    </row>
    <row r="1277" spans="1:8">
      <c r="A1277" t="s">
        <v>5054</v>
      </c>
      <c r="B1277" t="s">
        <v>5058</v>
      </c>
      <c r="D1277" t="s">
        <v>5059</v>
      </c>
      <c r="E1277" t="s">
        <v>280</v>
      </c>
      <c r="F1277" t="s">
        <v>5060</v>
      </c>
      <c r="G1277" t="s">
        <v>5057</v>
      </c>
      <c r="H1277" t="str">
        <f>"01422 842451"</f>
        <v>01422 842451</v>
      </c>
    </row>
    <row r="1278" spans="1:8">
      <c r="A1278" t="s">
        <v>5061</v>
      </c>
      <c r="B1278" t="s">
        <v>5062</v>
      </c>
      <c r="D1278" t="s">
        <v>2552</v>
      </c>
      <c r="E1278" t="s">
        <v>236</v>
      </c>
      <c r="F1278" t="s">
        <v>2553</v>
      </c>
      <c r="G1278" t="s">
        <v>5063</v>
      </c>
      <c r="H1278" t="str">
        <f>"01889 565211"</f>
        <v>01889 565211</v>
      </c>
    </row>
    <row r="1279" spans="1:8">
      <c r="A1279" t="s">
        <v>5064</v>
      </c>
      <c r="B1279" t="s">
        <v>5065</v>
      </c>
      <c r="D1279" t="s">
        <v>2018</v>
      </c>
      <c r="E1279" t="s">
        <v>132</v>
      </c>
      <c r="F1279" t="s">
        <v>5066</v>
      </c>
      <c r="G1279" t="s">
        <v>5067</v>
      </c>
      <c r="H1279" t="str">
        <f>"01524 63371"</f>
        <v>01524 63371</v>
      </c>
    </row>
    <row r="1280" spans="1:8">
      <c r="A1280" t="s">
        <v>5068</v>
      </c>
      <c r="B1280" t="s">
        <v>1869</v>
      </c>
      <c r="D1280" t="s">
        <v>1048</v>
      </c>
      <c r="E1280" t="s">
        <v>2125</v>
      </c>
      <c r="F1280" t="s">
        <v>5069</v>
      </c>
      <c r="G1280" t="s">
        <v>5070</v>
      </c>
      <c r="H1280" t="str">
        <f>"01446 733191"</f>
        <v>01446 733191</v>
      </c>
    </row>
    <row r="1281" spans="1:8">
      <c r="A1281" t="s">
        <v>5068</v>
      </c>
      <c r="B1281" t="s">
        <v>5071</v>
      </c>
      <c r="D1281" t="s">
        <v>5072</v>
      </c>
      <c r="F1281" t="s">
        <v>5073</v>
      </c>
      <c r="G1281" t="s">
        <v>5074</v>
      </c>
      <c r="H1281" t="str">
        <f>"01446-792535"</f>
        <v>01446-792535</v>
      </c>
    </row>
    <row r="1282" spans="1:8">
      <c r="A1282" t="s">
        <v>5075</v>
      </c>
      <c r="B1282" t="s">
        <v>5076</v>
      </c>
      <c r="C1282" t="s">
        <v>5077</v>
      </c>
      <c r="D1282" t="s">
        <v>5078</v>
      </c>
      <c r="E1282" t="s">
        <v>309</v>
      </c>
      <c r="F1282" t="s">
        <v>5079</v>
      </c>
      <c r="G1282" t="s">
        <v>5080</v>
      </c>
      <c r="H1282" t="str">
        <f>"01803 313656"</f>
        <v>01803 313656</v>
      </c>
    </row>
    <row r="1283" spans="1:8">
      <c r="A1283" t="s">
        <v>5075</v>
      </c>
      <c r="B1283" t="s">
        <v>5082</v>
      </c>
      <c r="D1283" t="s">
        <v>5081</v>
      </c>
      <c r="F1283" t="s">
        <v>5083</v>
      </c>
      <c r="G1283" t="s">
        <v>5084</v>
      </c>
      <c r="H1283" t="str">
        <f>"01803 881700"</f>
        <v>01803 881700</v>
      </c>
    </row>
    <row r="1284" spans="1:8">
      <c r="A1284" t="s">
        <v>5075</v>
      </c>
      <c r="B1284" t="s">
        <v>5086</v>
      </c>
      <c r="D1284" t="s">
        <v>5085</v>
      </c>
      <c r="F1284" t="s">
        <v>5087</v>
      </c>
      <c r="G1284" t="s">
        <v>5080</v>
      </c>
      <c r="H1284" t="str">
        <f>"01803881705"</f>
        <v>01803881705</v>
      </c>
    </row>
    <row r="1285" spans="1:8">
      <c r="A1285" t="s">
        <v>5088</v>
      </c>
      <c r="B1285" t="s">
        <v>5089</v>
      </c>
      <c r="D1285" t="s">
        <v>5090</v>
      </c>
      <c r="E1285" t="s">
        <v>736</v>
      </c>
      <c r="F1285" t="s">
        <v>5091</v>
      </c>
      <c r="G1285" t="s">
        <v>5092</v>
      </c>
      <c r="H1285" t="str">
        <f>"01279 444456"</f>
        <v>01279 444456</v>
      </c>
    </row>
    <row r="1286" spans="1:8">
      <c r="A1286" t="s">
        <v>5093</v>
      </c>
      <c r="B1286" t="s">
        <v>3746</v>
      </c>
      <c r="D1286" t="s">
        <v>5094</v>
      </c>
      <c r="E1286" t="s">
        <v>184</v>
      </c>
      <c r="F1286" t="s">
        <v>5095</v>
      </c>
      <c r="G1286" t="s">
        <v>5096</v>
      </c>
      <c r="H1286" t="str">
        <f>"01279 755777"</f>
        <v>01279 755777</v>
      </c>
    </row>
    <row r="1287" spans="1:8">
      <c r="A1287" t="s">
        <v>5093</v>
      </c>
      <c r="B1287" t="s">
        <v>5097</v>
      </c>
      <c r="D1287" t="s">
        <v>57</v>
      </c>
      <c r="F1287" t="s">
        <v>5098</v>
      </c>
      <c r="G1287" t="s">
        <v>5099</v>
      </c>
      <c r="H1287" t="str">
        <f>"0203 892 6800"</f>
        <v>0203 892 6800</v>
      </c>
    </row>
    <row r="1288" spans="1:8">
      <c r="A1288" t="s">
        <v>5100</v>
      </c>
      <c r="B1288" t="s">
        <v>5101</v>
      </c>
      <c r="D1288" t="s">
        <v>400</v>
      </c>
      <c r="E1288" t="s">
        <v>184</v>
      </c>
      <c r="F1288" t="s">
        <v>5102</v>
      </c>
      <c r="G1288" t="s">
        <v>5103</v>
      </c>
      <c r="H1288" t="str">
        <f>"01582715234"</f>
        <v>01582715234</v>
      </c>
    </row>
    <row r="1289" spans="1:8">
      <c r="A1289" t="s">
        <v>5100</v>
      </c>
      <c r="B1289" t="s">
        <v>5104</v>
      </c>
      <c r="D1289" t="s">
        <v>396</v>
      </c>
      <c r="F1289" t="s">
        <v>5105</v>
      </c>
      <c r="G1289" t="s">
        <v>5103</v>
      </c>
      <c r="H1289" t="str">
        <f>"01582 725311"</f>
        <v>01582 725311</v>
      </c>
    </row>
    <row r="1290" spans="1:8">
      <c r="A1290" t="s">
        <v>5100</v>
      </c>
      <c r="B1290" t="s">
        <v>5106</v>
      </c>
      <c r="C1290" t="s">
        <v>5107</v>
      </c>
      <c r="D1290" t="s">
        <v>187</v>
      </c>
      <c r="F1290" t="s">
        <v>5108</v>
      </c>
      <c r="G1290" t="s">
        <v>5103</v>
      </c>
      <c r="H1290" t="str">
        <f>"01908 304560"</f>
        <v>01908 304560</v>
      </c>
    </row>
    <row r="1291" spans="1:8">
      <c r="A1291" t="s">
        <v>5109</v>
      </c>
      <c r="B1291" t="s">
        <v>5110</v>
      </c>
      <c r="D1291" t="s">
        <v>57</v>
      </c>
      <c r="F1291" t="s">
        <v>5111</v>
      </c>
      <c r="G1291" t="s">
        <v>5112</v>
      </c>
      <c r="H1291" t="str">
        <f>"02088406640"</f>
        <v>02088406640</v>
      </c>
    </row>
    <row r="1292" spans="1:8">
      <c r="A1292" t="s">
        <v>5109</v>
      </c>
      <c r="B1292" t="s">
        <v>5114</v>
      </c>
      <c r="D1292" t="s">
        <v>5113</v>
      </c>
      <c r="F1292" t="s">
        <v>5115</v>
      </c>
      <c r="G1292" t="s">
        <v>5112</v>
      </c>
      <c r="H1292" t="str">
        <f>"02088406640"</f>
        <v>02088406640</v>
      </c>
    </row>
    <row r="1293" spans="1:8">
      <c r="A1293" t="s">
        <v>5109</v>
      </c>
      <c r="B1293" t="s">
        <v>5116</v>
      </c>
      <c r="D1293" t="s">
        <v>5117</v>
      </c>
      <c r="E1293" t="s">
        <v>927</v>
      </c>
      <c r="F1293" t="s">
        <v>5118</v>
      </c>
      <c r="G1293" t="s">
        <v>5119</v>
      </c>
      <c r="H1293" t="str">
        <f>"01227 693053"</f>
        <v>01227 693053</v>
      </c>
    </row>
    <row r="1294" spans="1:8">
      <c r="A1294" t="s">
        <v>5120</v>
      </c>
      <c r="B1294" t="s">
        <v>5121</v>
      </c>
      <c r="C1294" t="s">
        <v>1679</v>
      </c>
      <c r="D1294" t="s">
        <v>57</v>
      </c>
      <c r="F1294" t="s">
        <v>1680</v>
      </c>
      <c r="G1294" t="s">
        <v>5122</v>
      </c>
      <c r="H1294" t="str">
        <f>"02031301747"</f>
        <v>02031301747</v>
      </c>
    </row>
    <row r="1295" spans="1:8">
      <c r="A1295" t="s">
        <v>5123</v>
      </c>
      <c r="B1295" t="s">
        <v>5124</v>
      </c>
      <c r="C1295" t="s">
        <v>5125</v>
      </c>
      <c r="D1295" t="s">
        <v>3563</v>
      </c>
      <c r="E1295" t="s">
        <v>2281</v>
      </c>
      <c r="F1295" t="s">
        <v>5126</v>
      </c>
      <c r="G1295" t="s">
        <v>5127</v>
      </c>
      <c r="H1295" t="str">
        <f>"01209 712454"</f>
        <v>01209 712454</v>
      </c>
    </row>
    <row r="1296" spans="1:8">
      <c r="A1296" t="s">
        <v>5128</v>
      </c>
      <c r="B1296" t="s">
        <v>5129</v>
      </c>
      <c r="D1296" t="s">
        <v>2777</v>
      </c>
      <c r="E1296" t="s">
        <v>132</v>
      </c>
      <c r="F1296" t="s">
        <v>2783</v>
      </c>
      <c r="G1296" t="s">
        <v>5130</v>
      </c>
      <c r="H1296" t="str">
        <f>"01706213251"</f>
        <v>01706213251</v>
      </c>
    </row>
    <row r="1297" spans="1:8">
      <c r="A1297" t="s">
        <v>5131</v>
      </c>
      <c r="B1297" t="s">
        <v>5132</v>
      </c>
      <c r="C1297" t="s">
        <v>5133</v>
      </c>
      <c r="D1297" t="s">
        <v>5134</v>
      </c>
      <c r="F1297" t="s">
        <v>5135</v>
      </c>
      <c r="G1297" t="s">
        <v>5136</v>
      </c>
      <c r="H1297" t="str">
        <f>"01332340211"</f>
        <v>01332340211</v>
      </c>
    </row>
    <row r="1298" spans="1:8">
      <c r="A1298" t="s">
        <v>5131</v>
      </c>
      <c r="B1298" t="s">
        <v>5137</v>
      </c>
      <c r="D1298" t="s">
        <v>355</v>
      </c>
      <c r="F1298" t="s">
        <v>5138</v>
      </c>
      <c r="G1298" t="s">
        <v>5136</v>
      </c>
      <c r="H1298" t="str">
        <f>"01332 340 211"</f>
        <v>01332 340 211</v>
      </c>
    </row>
    <row r="1299" spans="1:8">
      <c r="A1299" t="s">
        <v>5131</v>
      </c>
      <c r="B1299" t="s">
        <v>5139</v>
      </c>
      <c r="D1299" t="s">
        <v>1024</v>
      </c>
      <c r="F1299" t="s">
        <v>5140</v>
      </c>
      <c r="G1299" t="s">
        <v>5136</v>
      </c>
      <c r="H1299" t="str">
        <f>"01332 340 211"</f>
        <v>01332 340 211</v>
      </c>
    </row>
    <row r="1300" spans="1:8">
      <c r="A1300" t="s">
        <v>5131</v>
      </c>
      <c r="B1300" t="s">
        <v>5141</v>
      </c>
      <c r="C1300" t="s">
        <v>5142</v>
      </c>
      <c r="D1300" t="s">
        <v>615</v>
      </c>
      <c r="F1300" t="s">
        <v>5143</v>
      </c>
      <c r="G1300" t="s">
        <v>5136</v>
      </c>
      <c r="H1300" t="str">
        <f>"01332 340 211"</f>
        <v>01332 340 211</v>
      </c>
    </row>
    <row r="1301" spans="1:8">
      <c r="A1301" t="s">
        <v>5144</v>
      </c>
      <c r="B1301" t="s">
        <v>5145</v>
      </c>
      <c r="D1301" t="s">
        <v>5146</v>
      </c>
      <c r="E1301" t="s">
        <v>736</v>
      </c>
      <c r="F1301" t="s">
        <v>5147</v>
      </c>
      <c r="G1301" t="s">
        <v>5148</v>
      </c>
      <c r="H1301" t="str">
        <f>"0208 551 0999"</f>
        <v>0208 551 0999</v>
      </c>
    </row>
    <row r="1302" spans="1:8">
      <c r="A1302" t="s">
        <v>5144</v>
      </c>
      <c r="B1302" t="s">
        <v>5149</v>
      </c>
      <c r="D1302" t="s">
        <v>57</v>
      </c>
      <c r="F1302" t="s">
        <v>5150</v>
      </c>
      <c r="G1302" t="s">
        <v>5151</v>
      </c>
      <c r="H1302" t="str">
        <f>"020 3693 7355"</f>
        <v>020 3693 7355</v>
      </c>
    </row>
    <row r="1303" spans="1:8">
      <c r="A1303" t="s">
        <v>5152</v>
      </c>
      <c r="B1303" t="s">
        <v>5153</v>
      </c>
      <c r="D1303" t="s">
        <v>5154</v>
      </c>
      <c r="E1303" t="s">
        <v>893</v>
      </c>
      <c r="F1303" t="s">
        <v>5155</v>
      </c>
      <c r="G1303" t="s">
        <v>5156</v>
      </c>
      <c r="H1303" t="str">
        <f>"01516307171"</f>
        <v>01516307171</v>
      </c>
    </row>
    <row r="1304" spans="1:8">
      <c r="A1304" t="s">
        <v>5152</v>
      </c>
      <c r="B1304" t="s">
        <v>5157</v>
      </c>
      <c r="D1304" t="s">
        <v>2592</v>
      </c>
      <c r="E1304" t="s">
        <v>893</v>
      </c>
      <c r="F1304" t="s">
        <v>5158</v>
      </c>
      <c r="G1304" t="s">
        <v>5156</v>
      </c>
      <c r="H1304" t="str">
        <f>"0151 647 7372"</f>
        <v>0151 647 7372</v>
      </c>
    </row>
    <row r="1305" spans="1:8">
      <c r="A1305" t="s">
        <v>5159</v>
      </c>
      <c r="B1305" t="s">
        <v>5160</v>
      </c>
      <c r="C1305" t="s">
        <v>5161</v>
      </c>
      <c r="D1305" t="s">
        <v>615</v>
      </c>
      <c r="E1305" t="s">
        <v>616</v>
      </c>
      <c r="F1305" t="s">
        <v>5162</v>
      </c>
      <c r="G1305" t="s">
        <v>5163</v>
      </c>
      <c r="H1305" t="str">
        <f>"01751431237"</f>
        <v>01751431237</v>
      </c>
    </row>
    <row r="1306" spans="1:8">
      <c r="A1306" t="s">
        <v>5164</v>
      </c>
      <c r="B1306" t="s">
        <v>5165</v>
      </c>
      <c r="C1306" t="s">
        <v>5166</v>
      </c>
      <c r="D1306" t="s">
        <v>409</v>
      </c>
      <c r="E1306" t="s">
        <v>410</v>
      </c>
      <c r="F1306" t="s">
        <v>5167</v>
      </c>
      <c r="G1306" t="s">
        <v>5168</v>
      </c>
      <c r="H1306" t="str">
        <f>"01159372408"</f>
        <v>01159372408</v>
      </c>
    </row>
    <row r="1307" spans="1:8">
      <c r="A1307" t="s">
        <v>5164</v>
      </c>
      <c r="B1307" t="s">
        <v>1375</v>
      </c>
      <c r="C1307" t="s">
        <v>5169</v>
      </c>
      <c r="D1307" t="s">
        <v>409</v>
      </c>
      <c r="F1307" t="s">
        <v>5170</v>
      </c>
      <c r="G1307" t="s">
        <v>5171</v>
      </c>
      <c r="H1307" t="str">
        <f>"01156972602"</f>
        <v>01156972602</v>
      </c>
    </row>
    <row r="1308" spans="1:8">
      <c r="A1308" t="s">
        <v>5164</v>
      </c>
      <c r="B1308" t="s">
        <v>5172</v>
      </c>
      <c r="C1308" t="s">
        <v>4140</v>
      </c>
      <c r="D1308" t="s">
        <v>4822</v>
      </c>
      <c r="E1308" t="s">
        <v>171</v>
      </c>
      <c r="F1308" t="s">
        <v>5173</v>
      </c>
      <c r="G1308" t="s">
        <v>5174</v>
      </c>
      <c r="H1308" t="str">
        <f>"01634 540038"</f>
        <v>01634 540038</v>
      </c>
    </row>
    <row r="1309" spans="1:8">
      <c r="A1309" t="s">
        <v>5164</v>
      </c>
      <c r="B1309" t="s">
        <v>5176</v>
      </c>
      <c r="D1309" t="s">
        <v>5175</v>
      </c>
      <c r="E1309" t="s">
        <v>409</v>
      </c>
      <c r="F1309" t="s">
        <v>5177</v>
      </c>
      <c r="G1309" t="s">
        <v>5168</v>
      </c>
      <c r="H1309" t="str">
        <f>"0115 667 7999"</f>
        <v>0115 667 7999</v>
      </c>
    </row>
    <row r="1310" spans="1:8">
      <c r="A1310" t="s">
        <v>5178</v>
      </c>
      <c r="B1310" t="s">
        <v>5179</v>
      </c>
      <c r="D1310" t="s">
        <v>52</v>
      </c>
      <c r="E1310" t="s">
        <v>53</v>
      </c>
      <c r="F1310" t="s">
        <v>5180</v>
      </c>
      <c r="G1310" t="s">
        <v>5181</v>
      </c>
      <c r="H1310" t="str">
        <f>"01452529751"</f>
        <v>01452529751</v>
      </c>
    </row>
    <row r="1311" spans="1:8">
      <c r="A1311" t="s">
        <v>5182</v>
      </c>
      <c r="B1311" t="s">
        <v>5183</v>
      </c>
      <c r="D1311" t="s">
        <v>152</v>
      </c>
      <c r="E1311" t="s">
        <v>153</v>
      </c>
      <c r="F1311" t="s">
        <v>5184</v>
      </c>
      <c r="G1311" t="s">
        <v>5185</v>
      </c>
      <c r="H1311" t="str">
        <f>"0118 951 6278"</f>
        <v>0118 951 6278</v>
      </c>
    </row>
    <row r="1312" spans="1:8">
      <c r="A1312" t="s">
        <v>5186</v>
      </c>
      <c r="B1312" t="s">
        <v>5187</v>
      </c>
      <c r="D1312" t="s">
        <v>5188</v>
      </c>
      <c r="E1312" t="s">
        <v>5189</v>
      </c>
      <c r="F1312" t="s">
        <v>5190</v>
      </c>
      <c r="G1312" t="s">
        <v>5191</v>
      </c>
      <c r="H1312" t="str">
        <f>"01284 717404"</f>
        <v>01284 717404</v>
      </c>
    </row>
    <row r="1313" spans="1:8">
      <c r="A1313" t="s">
        <v>5192</v>
      </c>
      <c r="B1313" t="s">
        <v>5193</v>
      </c>
      <c r="D1313" t="s">
        <v>5194</v>
      </c>
      <c r="E1313" t="s">
        <v>11</v>
      </c>
      <c r="F1313" t="s">
        <v>5195</v>
      </c>
      <c r="G1313" t="s">
        <v>5196</v>
      </c>
      <c r="H1313" t="str">
        <f>"01684 892939"</f>
        <v>01684 892939</v>
      </c>
    </row>
    <row r="1314" spans="1:8">
      <c r="A1314" t="s">
        <v>5197</v>
      </c>
      <c r="B1314" t="s">
        <v>5198</v>
      </c>
      <c r="D1314" t="s">
        <v>66</v>
      </c>
      <c r="E1314" t="s">
        <v>67</v>
      </c>
      <c r="F1314" t="s">
        <v>5199</v>
      </c>
      <c r="G1314" t="s">
        <v>5200</v>
      </c>
      <c r="H1314" t="str">
        <f>"01768 862007"</f>
        <v>01768 862007</v>
      </c>
    </row>
    <row r="1315" spans="1:8">
      <c r="A1315" t="s">
        <v>5197</v>
      </c>
      <c r="B1315" t="s">
        <v>5201</v>
      </c>
      <c r="D1315" t="s">
        <v>5202</v>
      </c>
      <c r="E1315" t="s">
        <v>67</v>
      </c>
      <c r="F1315" t="s">
        <v>5203</v>
      </c>
      <c r="G1315" t="s">
        <v>5204</v>
      </c>
      <c r="H1315" t="str">
        <f>"017683 51591"</f>
        <v>017683 51591</v>
      </c>
    </row>
    <row r="1316" spans="1:8">
      <c r="A1316" t="s">
        <v>5205</v>
      </c>
      <c r="B1316" t="s">
        <v>5206</v>
      </c>
      <c r="D1316" t="s">
        <v>5207</v>
      </c>
      <c r="E1316" t="s">
        <v>1936</v>
      </c>
      <c r="F1316" t="s">
        <v>5208</v>
      </c>
      <c r="G1316" t="s">
        <v>5209</v>
      </c>
      <c r="H1316" t="str">
        <f>"01678520428"</f>
        <v>01678520428</v>
      </c>
    </row>
    <row r="1317" spans="1:8">
      <c r="A1317" t="s">
        <v>5205</v>
      </c>
      <c r="B1317" t="s">
        <v>5210</v>
      </c>
      <c r="D1317" t="s">
        <v>3915</v>
      </c>
      <c r="E1317" t="s">
        <v>3916</v>
      </c>
      <c r="F1317" t="s">
        <v>5211</v>
      </c>
      <c r="G1317" t="s">
        <v>5212</v>
      </c>
      <c r="H1317" t="str">
        <f>"01745 814 817"</f>
        <v>01745 814 817</v>
      </c>
    </row>
    <row r="1318" spans="1:8">
      <c r="A1318" t="s">
        <v>5205</v>
      </c>
      <c r="B1318" t="s">
        <v>5213</v>
      </c>
      <c r="D1318" t="s">
        <v>4355</v>
      </c>
      <c r="E1318" t="s">
        <v>1936</v>
      </c>
      <c r="F1318" t="s">
        <v>5214</v>
      </c>
      <c r="G1318" t="s">
        <v>5215</v>
      </c>
      <c r="H1318" t="str">
        <f>"0134 142 2604"</f>
        <v>0134 142 2604</v>
      </c>
    </row>
    <row r="1319" spans="1:8">
      <c r="A1319" t="s">
        <v>5216</v>
      </c>
      <c r="B1319" t="s">
        <v>5217</v>
      </c>
      <c r="C1319" t="s">
        <v>5218</v>
      </c>
      <c r="D1319" t="s">
        <v>5219</v>
      </c>
      <c r="E1319" t="s">
        <v>616</v>
      </c>
      <c r="F1319" t="s">
        <v>5220</v>
      </c>
      <c r="G1319" t="s">
        <v>5221</v>
      </c>
      <c r="H1319" t="str">
        <f>"01937832371"</f>
        <v>01937832371</v>
      </c>
    </row>
    <row r="1320" spans="1:8">
      <c r="A1320" t="s">
        <v>5222</v>
      </c>
      <c r="B1320" t="s">
        <v>5223</v>
      </c>
      <c r="C1320" t="s">
        <v>2702</v>
      </c>
      <c r="D1320" t="s">
        <v>383</v>
      </c>
      <c r="E1320" t="s">
        <v>703</v>
      </c>
      <c r="F1320" t="s">
        <v>5224</v>
      </c>
      <c r="G1320" t="s">
        <v>5225</v>
      </c>
      <c r="H1320" t="str">
        <f>"01793 410800"</f>
        <v>01793 410800</v>
      </c>
    </row>
    <row r="1321" spans="1:8">
      <c r="A1321" t="s">
        <v>5222</v>
      </c>
      <c r="B1321" t="s">
        <v>5226</v>
      </c>
      <c r="C1321" t="s">
        <v>5227</v>
      </c>
      <c r="D1321" t="s">
        <v>61</v>
      </c>
      <c r="E1321" t="s">
        <v>1956</v>
      </c>
      <c r="F1321" t="s">
        <v>5228</v>
      </c>
      <c r="G1321" t="s">
        <v>5229</v>
      </c>
      <c r="H1321" t="str">
        <f>"01179 309500"</f>
        <v>01179 309500</v>
      </c>
    </row>
    <row r="1322" spans="1:8">
      <c r="A1322" t="s">
        <v>5222</v>
      </c>
      <c r="B1322" t="s">
        <v>5230</v>
      </c>
      <c r="D1322" t="s">
        <v>141</v>
      </c>
      <c r="E1322" t="s">
        <v>464</v>
      </c>
      <c r="F1322" t="s">
        <v>5231</v>
      </c>
      <c r="G1322" t="s">
        <v>5229</v>
      </c>
      <c r="H1322" t="str">
        <f>"01225 340000"</f>
        <v>01225 340000</v>
      </c>
    </row>
    <row r="1323" spans="1:8">
      <c r="A1323" t="s">
        <v>5222</v>
      </c>
      <c r="B1323" t="s">
        <v>5232</v>
      </c>
      <c r="C1323" t="s">
        <v>377</v>
      </c>
      <c r="D1323" t="s">
        <v>57</v>
      </c>
      <c r="F1323" t="s">
        <v>378</v>
      </c>
      <c r="G1323" t="s">
        <v>5229</v>
      </c>
      <c r="H1323" t="str">
        <f>"02077 665600"</f>
        <v>02077 665600</v>
      </c>
    </row>
    <row r="1324" spans="1:8">
      <c r="A1324" t="s">
        <v>5222</v>
      </c>
      <c r="B1324" t="s">
        <v>5233</v>
      </c>
      <c r="D1324" t="s">
        <v>1530</v>
      </c>
      <c r="E1324" t="s">
        <v>121</v>
      </c>
      <c r="F1324" t="s">
        <v>5234</v>
      </c>
      <c r="G1324" t="s">
        <v>5235</v>
      </c>
      <c r="H1324" t="str">
        <f>"01794 310 300"</f>
        <v>01794 310 300</v>
      </c>
    </row>
    <row r="1325" spans="1:8">
      <c r="A1325" t="s">
        <v>5222</v>
      </c>
      <c r="B1325" t="s">
        <v>5236</v>
      </c>
      <c r="D1325" t="s">
        <v>3274</v>
      </c>
      <c r="E1325" t="s">
        <v>971</v>
      </c>
      <c r="F1325" t="s">
        <v>5237</v>
      </c>
      <c r="G1325" t="s">
        <v>5229</v>
      </c>
      <c r="H1325" t="str">
        <f>"01989 762009"</f>
        <v>01989 762009</v>
      </c>
    </row>
    <row r="1326" spans="1:8">
      <c r="A1326" t="s">
        <v>5222</v>
      </c>
      <c r="B1326" t="s">
        <v>5238</v>
      </c>
      <c r="C1326" t="s">
        <v>5239</v>
      </c>
      <c r="D1326" t="s">
        <v>1506</v>
      </c>
      <c r="F1326" t="s">
        <v>5240</v>
      </c>
      <c r="G1326" t="s">
        <v>5229</v>
      </c>
      <c r="H1326" t="str">
        <f>"01594 842242"</f>
        <v>01594 842242</v>
      </c>
    </row>
    <row r="1327" spans="1:8">
      <c r="A1327" t="s">
        <v>5241</v>
      </c>
      <c r="B1327" t="s">
        <v>5242</v>
      </c>
      <c r="C1327" t="s">
        <v>5243</v>
      </c>
      <c r="D1327" t="s">
        <v>297</v>
      </c>
      <c r="E1327" t="s">
        <v>2112</v>
      </c>
      <c r="F1327" t="s">
        <v>5244</v>
      </c>
      <c r="G1327" t="s">
        <v>5245</v>
      </c>
      <c r="H1327" t="str">
        <f>"0161 370 9524"</f>
        <v>0161 370 9524</v>
      </c>
    </row>
    <row r="1328" spans="1:8">
      <c r="A1328" t="s">
        <v>5241</v>
      </c>
      <c r="B1328" t="s">
        <v>5246</v>
      </c>
      <c r="C1328" t="s">
        <v>5247</v>
      </c>
      <c r="D1328" t="s">
        <v>297</v>
      </c>
      <c r="E1328" t="s">
        <v>2112</v>
      </c>
      <c r="F1328" t="s">
        <v>5248</v>
      </c>
      <c r="G1328" t="s">
        <v>5249</v>
      </c>
      <c r="H1328" t="str">
        <f>"0161 336 7011"</f>
        <v>0161 336 7011</v>
      </c>
    </row>
    <row r="1329" spans="1:8">
      <c r="A1329" t="s">
        <v>5241</v>
      </c>
      <c r="B1329" t="s">
        <v>5250</v>
      </c>
      <c r="D1329" t="s">
        <v>5251</v>
      </c>
      <c r="E1329" t="s">
        <v>315</v>
      </c>
      <c r="F1329" t="s">
        <v>5252</v>
      </c>
      <c r="G1329" t="s">
        <v>5253</v>
      </c>
      <c r="H1329" t="str">
        <f>"0161 368 2134"</f>
        <v>0161 368 2134</v>
      </c>
    </row>
    <row r="1330" spans="1:8">
      <c r="A1330" t="s">
        <v>5254</v>
      </c>
      <c r="B1330" t="s">
        <v>5255</v>
      </c>
      <c r="D1330" t="s">
        <v>1318</v>
      </c>
      <c r="E1330" t="s">
        <v>5256</v>
      </c>
      <c r="F1330" t="s">
        <v>5257</v>
      </c>
      <c r="G1330" t="s">
        <v>5258</v>
      </c>
      <c r="H1330" t="str">
        <f>"01724843287"</f>
        <v>01724843287</v>
      </c>
    </row>
    <row r="1331" spans="1:8">
      <c r="A1331" t="s">
        <v>5259</v>
      </c>
      <c r="B1331" t="s">
        <v>5260</v>
      </c>
      <c r="D1331" t="s">
        <v>5261</v>
      </c>
      <c r="E1331" t="s">
        <v>736</v>
      </c>
      <c r="F1331" t="s">
        <v>5262</v>
      </c>
      <c r="G1331" t="s">
        <v>5263</v>
      </c>
      <c r="H1331" t="str">
        <f>"01621 852323"</f>
        <v>01621 852323</v>
      </c>
    </row>
    <row r="1332" spans="1:8">
      <c r="A1332" t="s">
        <v>5259</v>
      </c>
      <c r="B1332" t="s">
        <v>5264</v>
      </c>
      <c r="D1332" t="s">
        <v>5265</v>
      </c>
      <c r="E1332" t="s">
        <v>736</v>
      </c>
      <c r="F1332" t="s">
        <v>5266</v>
      </c>
      <c r="G1332" t="s">
        <v>5263</v>
      </c>
      <c r="H1332" t="str">
        <f>"01376 512338"</f>
        <v>01376 512338</v>
      </c>
    </row>
    <row r="1333" spans="1:8">
      <c r="A1333" t="s">
        <v>5259</v>
      </c>
      <c r="B1333" t="s">
        <v>5267</v>
      </c>
      <c r="C1333" t="s">
        <v>5268</v>
      </c>
      <c r="D1333" t="s">
        <v>5269</v>
      </c>
      <c r="F1333" t="s">
        <v>5270</v>
      </c>
      <c r="G1333" t="s">
        <v>5263</v>
      </c>
      <c r="H1333" t="str">
        <f>"01621 819019"</f>
        <v>01621 819019</v>
      </c>
    </row>
    <row r="1334" spans="1:8">
      <c r="A1334" t="s">
        <v>5259</v>
      </c>
      <c r="B1334" t="s">
        <v>5271</v>
      </c>
      <c r="C1334" t="s">
        <v>5272</v>
      </c>
      <c r="D1334" t="s">
        <v>1443</v>
      </c>
      <c r="F1334" t="s">
        <v>5273</v>
      </c>
      <c r="G1334" t="s">
        <v>5263</v>
      </c>
      <c r="H1334" t="str">
        <f>"01245 226444"</f>
        <v>01245 226444</v>
      </c>
    </row>
    <row r="1335" spans="1:8">
      <c r="A1335" t="s">
        <v>5274</v>
      </c>
      <c r="B1335" t="s">
        <v>5275</v>
      </c>
      <c r="D1335" t="s">
        <v>4387</v>
      </c>
      <c r="E1335" t="s">
        <v>464</v>
      </c>
      <c r="F1335" t="s">
        <v>5276</v>
      </c>
      <c r="G1335" t="s">
        <v>5277</v>
      </c>
      <c r="H1335" t="str">
        <f>"01643 707777"</f>
        <v>01643 707777</v>
      </c>
    </row>
    <row r="1336" spans="1:8">
      <c r="A1336" t="s">
        <v>5274</v>
      </c>
      <c r="B1336" t="s">
        <v>5278</v>
      </c>
      <c r="D1336" t="s">
        <v>1135</v>
      </c>
      <c r="E1336" t="s">
        <v>464</v>
      </c>
      <c r="F1336" t="s">
        <v>5279</v>
      </c>
      <c r="G1336" t="s">
        <v>5277</v>
      </c>
      <c r="H1336" t="str">
        <f>"01823 745777"</f>
        <v>01823 745777</v>
      </c>
    </row>
    <row r="1337" spans="1:8">
      <c r="A1337" t="s">
        <v>5280</v>
      </c>
      <c r="B1337" t="s">
        <v>5281</v>
      </c>
      <c r="C1337" t="s">
        <v>2398</v>
      </c>
      <c r="D1337" t="s">
        <v>5282</v>
      </c>
      <c r="E1337" t="s">
        <v>184</v>
      </c>
      <c r="F1337" t="s">
        <v>5283</v>
      </c>
      <c r="G1337" t="s">
        <v>5284</v>
      </c>
      <c r="H1337" t="str">
        <f>"01992 464 552"</f>
        <v>01992 464 552</v>
      </c>
    </row>
    <row r="1338" spans="1:8">
      <c r="A1338" t="s">
        <v>5280</v>
      </c>
      <c r="B1338" t="s">
        <v>5286</v>
      </c>
      <c r="C1338" t="s">
        <v>5287</v>
      </c>
      <c r="D1338" t="s">
        <v>5285</v>
      </c>
      <c r="E1338" t="s">
        <v>184</v>
      </c>
      <c r="F1338" t="s">
        <v>5288</v>
      </c>
      <c r="G1338" t="s">
        <v>5289</v>
      </c>
      <c r="H1338" t="str">
        <f>"01992 464552"</f>
        <v>01992 464552</v>
      </c>
    </row>
    <row r="1339" spans="1:8">
      <c r="A1339" t="s">
        <v>5290</v>
      </c>
      <c r="B1339" t="s">
        <v>5291</v>
      </c>
      <c r="D1339" t="s">
        <v>927</v>
      </c>
      <c r="E1339" t="s">
        <v>171</v>
      </c>
      <c r="F1339" t="s">
        <v>5292</v>
      </c>
      <c r="G1339" t="s">
        <v>5293</v>
      </c>
      <c r="H1339" t="str">
        <f>"01227 768374"</f>
        <v>01227 768374</v>
      </c>
    </row>
    <row r="1340" spans="1:8">
      <c r="A1340" t="s">
        <v>5290</v>
      </c>
      <c r="B1340" t="s">
        <v>5294</v>
      </c>
      <c r="D1340" t="s">
        <v>5295</v>
      </c>
      <c r="E1340" t="s">
        <v>171</v>
      </c>
      <c r="F1340" t="s">
        <v>5296</v>
      </c>
      <c r="G1340" t="s">
        <v>5293</v>
      </c>
      <c r="H1340" t="str">
        <f>"01233 664711"</f>
        <v>01233 664711</v>
      </c>
    </row>
    <row r="1341" spans="1:8">
      <c r="A1341" t="s">
        <v>5290</v>
      </c>
      <c r="B1341" t="s">
        <v>5297</v>
      </c>
      <c r="D1341" t="s">
        <v>5298</v>
      </c>
      <c r="F1341" t="s">
        <v>5299</v>
      </c>
      <c r="G1341" t="s">
        <v>5293</v>
      </c>
      <c r="H1341" t="str">
        <f>"01227 367355"</f>
        <v>01227 367355</v>
      </c>
    </row>
    <row r="1342" spans="1:8">
      <c r="A1342" t="s">
        <v>5300</v>
      </c>
      <c r="B1342" t="s">
        <v>4779</v>
      </c>
      <c r="D1342" t="s">
        <v>5301</v>
      </c>
      <c r="E1342" t="s">
        <v>236</v>
      </c>
      <c r="F1342" t="s">
        <v>5302</v>
      </c>
      <c r="G1342" t="s">
        <v>5303</v>
      </c>
      <c r="H1342" t="str">
        <f>"01283 548282"</f>
        <v>01283 548282</v>
      </c>
    </row>
    <row r="1343" spans="1:8">
      <c r="A1343" t="s">
        <v>5300</v>
      </c>
      <c r="B1343" t="s">
        <v>5304</v>
      </c>
      <c r="C1343" t="s">
        <v>5305</v>
      </c>
      <c r="D1343" t="s">
        <v>5134</v>
      </c>
      <c r="E1343" t="s">
        <v>1033</v>
      </c>
      <c r="F1343" t="s">
        <v>5306</v>
      </c>
      <c r="G1343" t="s">
        <v>5307</v>
      </c>
      <c r="H1343" t="str">
        <f>"01332 225225 "</f>
        <v xml:space="preserve">01332 225225 </v>
      </c>
    </row>
    <row r="1344" spans="1:8">
      <c r="A1344" t="s">
        <v>5300</v>
      </c>
      <c r="B1344" t="s">
        <v>5308</v>
      </c>
      <c r="C1344" t="s">
        <v>5309</v>
      </c>
      <c r="D1344" t="s">
        <v>774</v>
      </c>
      <c r="E1344" t="s">
        <v>775</v>
      </c>
      <c r="F1344" t="s">
        <v>5310</v>
      </c>
      <c r="G1344" t="s">
        <v>5303</v>
      </c>
      <c r="H1344" t="str">
        <f>"0116 2472000"</f>
        <v>0116 2472000</v>
      </c>
    </row>
    <row r="1345" spans="1:8">
      <c r="A1345" t="s">
        <v>5300</v>
      </c>
      <c r="B1345" t="s">
        <v>5312</v>
      </c>
      <c r="D1345" t="s">
        <v>5311</v>
      </c>
      <c r="E1345" t="s">
        <v>1033</v>
      </c>
      <c r="F1345" t="s">
        <v>5313</v>
      </c>
      <c r="G1345" t="s">
        <v>5303</v>
      </c>
      <c r="H1345" t="str">
        <f>"01283 226444"</f>
        <v>01283 226444</v>
      </c>
    </row>
    <row r="1346" spans="1:8">
      <c r="A1346" t="s">
        <v>5300</v>
      </c>
      <c r="B1346" t="s">
        <v>5315</v>
      </c>
      <c r="C1346" t="s">
        <v>5316</v>
      </c>
      <c r="D1346" t="s">
        <v>5317</v>
      </c>
      <c r="E1346" t="s">
        <v>4028</v>
      </c>
      <c r="F1346" t="s">
        <v>5318</v>
      </c>
      <c r="G1346" t="s">
        <v>5319</v>
      </c>
      <c r="H1346" t="str">
        <f>"01782 324454"</f>
        <v>01782 324454</v>
      </c>
    </row>
    <row r="1347" spans="1:8">
      <c r="A1347" t="s">
        <v>5320</v>
      </c>
      <c r="B1347" t="s">
        <v>5321</v>
      </c>
      <c r="D1347" t="s">
        <v>326</v>
      </c>
      <c r="F1347" t="s">
        <v>5322</v>
      </c>
      <c r="G1347" t="s">
        <v>5323</v>
      </c>
      <c r="H1347" t="str">
        <f>"01924 290029"</f>
        <v>01924 290029</v>
      </c>
    </row>
    <row r="1348" spans="1:8">
      <c r="A1348" t="s">
        <v>5320</v>
      </c>
      <c r="B1348" t="s">
        <v>5325</v>
      </c>
      <c r="D1348" t="s">
        <v>5324</v>
      </c>
      <c r="E1348" t="s">
        <v>326</v>
      </c>
      <c r="F1348" t="s">
        <v>5326</v>
      </c>
      <c r="G1348" t="s">
        <v>5323</v>
      </c>
      <c r="H1348" t="str">
        <f>"01924 586466"</f>
        <v>01924 586466</v>
      </c>
    </row>
    <row r="1349" spans="1:8">
      <c r="A1349" t="s">
        <v>5320</v>
      </c>
      <c r="B1349" t="s">
        <v>5328</v>
      </c>
      <c r="D1349" t="s">
        <v>5327</v>
      </c>
      <c r="E1349" t="s">
        <v>355</v>
      </c>
      <c r="F1349" t="s">
        <v>5329</v>
      </c>
      <c r="G1349" t="s">
        <v>5323</v>
      </c>
      <c r="H1349" t="str">
        <f>"0113 246 4423"</f>
        <v>0113 246 4423</v>
      </c>
    </row>
    <row r="1350" spans="1:8">
      <c r="A1350" t="s">
        <v>5320</v>
      </c>
      <c r="B1350" t="s">
        <v>5331</v>
      </c>
      <c r="D1350" t="s">
        <v>5330</v>
      </c>
      <c r="E1350" t="s">
        <v>355</v>
      </c>
      <c r="F1350" t="s">
        <v>5332</v>
      </c>
      <c r="G1350" t="s">
        <v>5323</v>
      </c>
      <c r="H1350" t="str">
        <f>"01977 350500"</f>
        <v>01977 350500</v>
      </c>
    </row>
    <row r="1351" spans="1:8">
      <c r="A1351" t="s">
        <v>5333</v>
      </c>
      <c r="B1351" t="s">
        <v>5334</v>
      </c>
      <c r="D1351" t="s">
        <v>88</v>
      </c>
      <c r="E1351" t="s">
        <v>520</v>
      </c>
      <c r="F1351" t="s">
        <v>5335</v>
      </c>
      <c r="G1351" t="s">
        <v>5336</v>
      </c>
      <c r="H1351" t="str">
        <f>"01323435900"</f>
        <v>01323435900</v>
      </c>
    </row>
    <row r="1352" spans="1:8">
      <c r="A1352" t="s">
        <v>5333</v>
      </c>
      <c r="B1352" t="s">
        <v>5337</v>
      </c>
      <c r="D1352" t="s">
        <v>4163</v>
      </c>
      <c r="E1352" t="s">
        <v>520</v>
      </c>
      <c r="F1352" t="s">
        <v>5338</v>
      </c>
      <c r="G1352" t="s">
        <v>5336</v>
      </c>
      <c r="H1352" t="str">
        <f>"01424 438011"</f>
        <v>01424 438011</v>
      </c>
    </row>
    <row r="1353" spans="1:8">
      <c r="A1353" t="s">
        <v>5333</v>
      </c>
      <c r="B1353" t="s">
        <v>5339</v>
      </c>
      <c r="D1353" t="s">
        <v>4166</v>
      </c>
      <c r="E1353" t="s">
        <v>520</v>
      </c>
      <c r="F1353" t="s">
        <v>5340</v>
      </c>
      <c r="G1353" t="s">
        <v>5336</v>
      </c>
      <c r="H1353" t="str">
        <f>"01424 730945"</f>
        <v>01424 730945</v>
      </c>
    </row>
    <row r="1354" spans="1:8">
      <c r="A1354" t="s">
        <v>5341</v>
      </c>
      <c r="B1354" t="s">
        <v>5342</v>
      </c>
      <c r="C1354" t="s">
        <v>5343</v>
      </c>
      <c r="D1354" t="s">
        <v>440</v>
      </c>
      <c r="E1354" t="s">
        <v>315</v>
      </c>
      <c r="F1354" t="s">
        <v>5344</v>
      </c>
      <c r="G1354" t="s">
        <v>5345</v>
      </c>
      <c r="H1354" t="str">
        <f>"01244 665 399"</f>
        <v>01244 665 399</v>
      </c>
    </row>
    <row r="1355" spans="1:8">
      <c r="A1355" t="s">
        <v>5346</v>
      </c>
      <c r="B1355" t="s">
        <v>5347</v>
      </c>
      <c r="D1355" t="s">
        <v>1853</v>
      </c>
      <c r="E1355" t="s">
        <v>5348</v>
      </c>
      <c r="F1355" t="s">
        <v>5349</v>
      </c>
      <c r="G1355" t="s">
        <v>5350</v>
      </c>
      <c r="H1355" t="str">
        <f>"01226 733533"</f>
        <v>01226 733533</v>
      </c>
    </row>
    <row r="1356" spans="1:8">
      <c r="A1356" t="s">
        <v>5346</v>
      </c>
      <c r="B1356" t="s">
        <v>5351</v>
      </c>
      <c r="C1356" t="s">
        <v>5352</v>
      </c>
      <c r="D1356" t="s">
        <v>1853</v>
      </c>
      <c r="E1356" t="s">
        <v>5348</v>
      </c>
      <c r="F1356" t="s">
        <v>5353</v>
      </c>
      <c r="G1356" t="s">
        <v>5350</v>
      </c>
      <c r="H1356" t="str">
        <f>"01226 753433"</f>
        <v>01226 753433</v>
      </c>
    </row>
    <row r="1357" spans="1:8">
      <c r="A1357" t="s">
        <v>5346</v>
      </c>
      <c r="B1357" t="s">
        <v>5354</v>
      </c>
      <c r="D1357" t="s">
        <v>355</v>
      </c>
      <c r="E1357" t="s">
        <v>280</v>
      </c>
      <c r="F1357" t="s">
        <v>5355</v>
      </c>
      <c r="G1357" t="s">
        <v>5356</v>
      </c>
      <c r="H1357" t="str">
        <f>"01132 444227"</f>
        <v>01132 444227</v>
      </c>
    </row>
    <row r="1358" spans="1:8">
      <c r="A1358" t="s">
        <v>5357</v>
      </c>
      <c r="B1358" t="s">
        <v>5358</v>
      </c>
      <c r="D1358" t="s">
        <v>741</v>
      </c>
      <c r="E1358" t="s">
        <v>742</v>
      </c>
      <c r="F1358" t="s">
        <v>5359</v>
      </c>
      <c r="G1358" t="s">
        <v>5360</v>
      </c>
      <c r="H1358" t="str">
        <f>"01603877066"</f>
        <v>01603877066</v>
      </c>
    </row>
    <row r="1359" spans="1:8">
      <c r="A1359" t="s">
        <v>5361</v>
      </c>
      <c r="B1359" t="s">
        <v>5362</v>
      </c>
      <c r="C1359" t="s">
        <v>5363</v>
      </c>
      <c r="D1359" t="s">
        <v>1486</v>
      </c>
      <c r="F1359" t="s">
        <v>5364</v>
      </c>
      <c r="G1359" t="s">
        <v>5365</v>
      </c>
      <c r="H1359" t="str">
        <f>"0191 3787620"</f>
        <v>0191 3787620</v>
      </c>
    </row>
    <row r="1360" spans="1:8">
      <c r="A1360" t="s">
        <v>5366</v>
      </c>
      <c r="B1360" t="s">
        <v>5367</v>
      </c>
      <c r="D1360" t="s">
        <v>4163</v>
      </c>
      <c r="F1360" t="s">
        <v>5368</v>
      </c>
      <c r="G1360" t="s">
        <v>5369</v>
      </c>
      <c r="H1360" t="str">
        <f>"01424 425285"</f>
        <v>01424 425285</v>
      </c>
    </row>
    <row r="1361" spans="1:8">
      <c r="A1361" t="s">
        <v>5366</v>
      </c>
      <c r="B1361" t="s">
        <v>5370</v>
      </c>
      <c r="D1361" t="s">
        <v>2504</v>
      </c>
      <c r="F1361" t="s">
        <v>5371</v>
      </c>
      <c r="G1361" t="s">
        <v>5369</v>
      </c>
      <c r="H1361" t="str">
        <f>"01323 449150"</f>
        <v>01323 449150</v>
      </c>
    </row>
    <row r="1362" spans="1:8">
      <c r="A1362" t="s">
        <v>5372</v>
      </c>
      <c r="B1362" t="s">
        <v>5373</v>
      </c>
      <c r="D1362" t="s">
        <v>57</v>
      </c>
      <c r="F1362" t="s">
        <v>5374</v>
      </c>
      <c r="G1362" t="s">
        <v>5375</v>
      </c>
      <c r="H1362" t="str">
        <f>"0208 347 2480"</f>
        <v>0208 347 2480</v>
      </c>
    </row>
    <row r="1363" spans="1:8">
      <c r="A1363" t="s">
        <v>5372</v>
      </c>
      <c r="B1363" t="s">
        <v>5376</v>
      </c>
      <c r="D1363" t="s">
        <v>5377</v>
      </c>
      <c r="E1363" t="s">
        <v>57</v>
      </c>
      <c r="F1363" t="s">
        <v>5378</v>
      </c>
      <c r="G1363" t="s">
        <v>5375</v>
      </c>
      <c r="H1363" t="str">
        <f>"020 7431 8889 "</f>
        <v xml:space="preserve">020 7431 8889 </v>
      </c>
    </row>
    <row r="1364" spans="1:8">
      <c r="A1364" t="s">
        <v>5372</v>
      </c>
      <c r="B1364" t="s">
        <v>5379</v>
      </c>
      <c r="C1364" t="s">
        <v>5380</v>
      </c>
      <c r="D1364" t="s">
        <v>57</v>
      </c>
      <c r="F1364" t="s">
        <v>5381</v>
      </c>
      <c r="G1364" t="s">
        <v>5375</v>
      </c>
      <c r="H1364" t="str">
        <f>"02083485223"</f>
        <v>02083485223</v>
      </c>
    </row>
    <row r="1365" spans="1:8">
      <c r="A1365" t="s">
        <v>5372</v>
      </c>
      <c r="B1365" t="s">
        <v>5382</v>
      </c>
      <c r="D1365" t="s">
        <v>57</v>
      </c>
      <c r="F1365" t="s">
        <v>5383</v>
      </c>
      <c r="G1365" t="s">
        <v>5375</v>
      </c>
      <c r="H1365" t="str">
        <f>"020 3518 4573"</f>
        <v>020 3518 4573</v>
      </c>
    </row>
    <row r="1366" spans="1:8">
      <c r="A1366" t="s">
        <v>5384</v>
      </c>
      <c r="B1366" t="s">
        <v>5385</v>
      </c>
      <c r="D1366" t="s">
        <v>2468</v>
      </c>
      <c r="E1366" t="s">
        <v>742</v>
      </c>
      <c r="F1366" t="s">
        <v>5386</v>
      </c>
      <c r="G1366" t="s">
        <v>5387</v>
      </c>
      <c r="H1366" t="str">
        <f>"01493 844308"</f>
        <v>01493 844308</v>
      </c>
    </row>
    <row r="1367" spans="1:8">
      <c r="A1367" t="s">
        <v>5384</v>
      </c>
      <c r="B1367" t="s">
        <v>5388</v>
      </c>
      <c r="C1367" t="s">
        <v>2471</v>
      </c>
      <c r="D1367" t="s">
        <v>2468</v>
      </c>
      <c r="E1367" t="s">
        <v>742</v>
      </c>
      <c r="F1367" t="s">
        <v>5389</v>
      </c>
      <c r="G1367" t="s">
        <v>5390</v>
      </c>
      <c r="H1367" t="str">
        <f>"01493 604990"</f>
        <v>01493 604990</v>
      </c>
    </row>
    <row r="1368" spans="1:8">
      <c r="A1368" t="s">
        <v>5384</v>
      </c>
      <c r="B1368" t="s">
        <v>5391</v>
      </c>
      <c r="C1368" t="s">
        <v>5392</v>
      </c>
      <c r="D1368" t="s">
        <v>2468</v>
      </c>
      <c r="E1368" t="s">
        <v>742</v>
      </c>
      <c r="F1368" t="s">
        <v>5393</v>
      </c>
      <c r="G1368" t="s">
        <v>5394</v>
      </c>
      <c r="H1368" t="str">
        <f>"01493 748174"</f>
        <v>01493 748174</v>
      </c>
    </row>
    <row r="1369" spans="1:8">
      <c r="A1369" t="s">
        <v>5395</v>
      </c>
      <c r="B1369" t="s">
        <v>5396</v>
      </c>
      <c r="D1369" t="s">
        <v>1853</v>
      </c>
      <c r="E1369" t="s">
        <v>227</v>
      </c>
      <c r="F1369" t="s">
        <v>5397</v>
      </c>
      <c r="G1369" t="s">
        <v>5398</v>
      </c>
      <c r="H1369" t="str">
        <f>"01226 210000"</f>
        <v>01226 210000</v>
      </c>
    </row>
    <row r="1370" spans="1:8">
      <c r="A1370" t="s">
        <v>5399</v>
      </c>
      <c r="B1370" t="s">
        <v>5400</v>
      </c>
      <c r="D1370" t="s">
        <v>355</v>
      </c>
      <c r="E1370" t="s">
        <v>280</v>
      </c>
      <c r="F1370" t="s">
        <v>5401</v>
      </c>
      <c r="G1370" t="s">
        <v>5402</v>
      </c>
      <c r="H1370" t="str">
        <f>"03442442866"</f>
        <v>03442442866</v>
      </c>
    </row>
    <row r="1371" spans="1:8">
      <c r="A1371" t="s">
        <v>5403</v>
      </c>
      <c r="B1371" t="s">
        <v>5404</v>
      </c>
      <c r="D1371" t="s">
        <v>5405</v>
      </c>
      <c r="E1371" t="s">
        <v>3199</v>
      </c>
      <c r="F1371" t="s">
        <v>5406</v>
      </c>
      <c r="G1371" t="s">
        <v>5407</v>
      </c>
      <c r="H1371" t="str">
        <f>"01554 772632"</f>
        <v>01554 772632</v>
      </c>
    </row>
    <row r="1372" spans="1:8">
      <c r="A1372" t="s">
        <v>5408</v>
      </c>
      <c r="B1372" t="s">
        <v>5409</v>
      </c>
      <c r="C1372" t="s">
        <v>5410</v>
      </c>
      <c r="D1372" t="s">
        <v>5411</v>
      </c>
      <c r="E1372" t="s">
        <v>200</v>
      </c>
      <c r="F1372" t="s">
        <v>5412</v>
      </c>
      <c r="G1372" t="s">
        <v>5413</v>
      </c>
      <c r="H1372" t="str">
        <f>"02089863911"</f>
        <v>02089863911</v>
      </c>
    </row>
    <row r="1373" spans="1:8">
      <c r="A1373" t="s">
        <v>5408</v>
      </c>
      <c r="B1373" t="s">
        <v>5414</v>
      </c>
      <c r="D1373" t="s">
        <v>57</v>
      </c>
      <c r="F1373" t="s">
        <v>5415</v>
      </c>
      <c r="G1373" t="s">
        <v>5413</v>
      </c>
      <c r="H1373" t="str">
        <f>"020 8986 3911 "</f>
        <v xml:space="preserve">020 8986 3911 </v>
      </c>
    </row>
    <row r="1374" spans="1:8">
      <c r="A1374" t="s">
        <v>5416</v>
      </c>
      <c r="B1374" t="s">
        <v>5417</v>
      </c>
      <c r="C1374" t="s">
        <v>4091</v>
      </c>
      <c r="D1374" t="s">
        <v>4528</v>
      </c>
      <c r="E1374" t="s">
        <v>1412</v>
      </c>
      <c r="F1374" t="s">
        <v>4092</v>
      </c>
      <c r="G1374" t="s">
        <v>5418</v>
      </c>
      <c r="H1374" t="str">
        <f>"01502 532300"</f>
        <v>01502 532300</v>
      </c>
    </row>
    <row r="1375" spans="1:8">
      <c r="A1375" t="s">
        <v>5416</v>
      </c>
      <c r="B1375" t="s">
        <v>1440</v>
      </c>
      <c r="C1375" t="s">
        <v>5419</v>
      </c>
      <c r="D1375" t="s">
        <v>741</v>
      </c>
      <c r="F1375" t="s">
        <v>5420</v>
      </c>
      <c r="G1375" t="s">
        <v>5418</v>
      </c>
      <c r="H1375" t="str">
        <f>"01603 558700"</f>
        <v>01603 558700</v>
      </c>
    </row>
    <row r="1376" spans="1:8">
      <c r="A1376" t="s">
        <v>5421</v>
      </c>
      <c r="B1376" t="s">
        <v>5422</v>
      </c>
      <c r="D1376" t="s">
        <v>368</v>
      </c>
      <c r="E1376" t="s">
        <v>369</v>
      </c>
      <c r="F1376" t="s">
        <v>5423</v>
      </c>
      <c r="G1376" t="s">
        <v>5424</v>
      </c>
      <c r="H1376" t="str">
        <f>"01733882800"</f>
        <v>01733882800</v>
      </c>
    </row>
    <row r="1377" spans="1:8">
      <c r="A1377" t="s">
        <v>5421</v>
      </c>
      <c r="B1377" t="s">
        <v>5426</v>
      </c>
      <c r="D1377" t="s">
        <v>5425</v>
      </c>
      <c r="E1377" t="s">
        <v>369</v>
      </c>
      <c r="F1377" t="s">
        <v>5427</v>
      </c>
      <c r="G1377" t="s">
        <v>5424</v>
      </c>
      <c r="H1377" t="str">
        <f>"01480 411224"</f>
        <v>01480 411224</v>
      </c>
    </row>
    <row r="1378" spans="1:8">
      <c r="A1378" t="s">
        <v>5421</v>
      </c>
      <c r="B1378" t="s">
        <v>5429</v>
      </c>
      <c r="D1378" t="s">
        <v>5428</v>
      </c>
      <c r="E1378" t="s">
        <v>1180</v>
      </c>
      <c r="F1378" t="s">
        <v>5430</v>
      </c>
      <c r="G1378" t="s">
        <v>5424</v>
      </c>
      <c r="H1378" t="str">
        <f>"01832 273506"</f>
        <v>01832 273506</v>
      </c>
    </row>
    <row r="1379" spans="1:8">
      <c r="A1379" t="s">
        <v>5431</v>
      </c>
      <c r="B1379" t="s">
        <v>5432</v>
      </c>
      <c r="D1379" t="s">
        <v>57</v>
      </c>
      <c r="F1379" t="s">
        <v>5433</v>
      </c>
      <c r="G1379" t="s">
        <v>5434</v>
      </c>
      <c r="H1379" t="str">
        <f>"0207 269 5120"</f>
        <v>0207 269 5120</v>
      </c>
    </row>
    <row r="1380" spans="1:8">
      <c r="A1380" t="s">
        <v>5435</v>
      </c>
      <c r="B1380" t="s">
        <v>5436</v>
      </c>
      <c r="D1380" t="s">
        <v>57</v>
      </c>
      <c r="F1380" t="s">
        <v>5437</v>
      </c>
      <c r="G1380" t="s">
        <v>5438</v>
      </c>
      <c r="H1380" t="str">
        <f>"02078230450"</f>
        <v>02078230450</v>
      </c>
    </row>
    <row r="1381" spans="1:8">
      <c r="A1381" t="s">
        <v>5439</v>
      </c>
      <c r="B1381" t="s">
        <v>5440</v>
      </c>
      <c r="D1381" t="s">
        <v>2178</v>
      </c>
      <c r="E1381" t="s">
        <v>340</v>
      </c>
      <c r="F1381" t="s">
        <v>5441</v>
      </c>
      <c r="G1381" t="s">
        <v>5442</v>
      </c>
      <c r="H1381" t="str">
        <f>"0191 226 7878"</f>
        <v>0191 226 7878</v>
      </c>
    </row>
    <row r="1382" spans="1:8">
      <c r="A1382" t="s">
        <v>5443</v>
      </c>
      <c r="B1382" t="s">
        <v>5444</v>
      </c>
      <c r="D1382" t="s">
        <v>4528</v>
      </c>
      <c r="E1382" t="s">
        <v>1412</v>
      </c>
      <c r="F1382" t="s">
        <v>5445</v>
      </c>
      <c r="G1382" t="s">
        <v>5446</v>
      </c>
      <c r="H1382" t="str">
        <f>"01502 718700"</f>
        <v>01502 718700</v>
      </c>
    </row>
    <row r="1383" spans="1:8">
      <c r="A1383" t="s">
        <v>5443</v>
      </c>
      <c r="B1383" t="s">
        <v>5447</v>
      </c>
      <c r="D1383" t="s">
        <v>4532</v>
      </c>
      <c r="E1383" t="s">
        <v>1412</v>
      </c>
      <c r="F1383" t="s">
        <v>5448</v>
      </c>
      <c r="G1383" t="s">
        <v>5446</v>
      </c>
      <c r="H1383" t="str">
        <f>"01502 718700"</f>
        <v>01502 718700</v>
      </c>
    </row>
    <row r="1384" spans="1:8">
      <c r="A1384" t="s">
        <v>5443</v>
      </c>
      <c r="B1384" t="s">
        <v>5449</v>
      </c>
      <c r="C1384" t="s">
        <v>2471</v>
      </c>
      <c r="D1384" t="s">
        <v>2468</v>
      </c>
      <c r="E1384" t="s">
        <v>742</v>
      </c>
      <c r="F1384" t="s">
        <v>5450</v>
      </c>
      <c r="G1384" t="s">
        <v>5446</v>
      </c>
      <c r="H1384" t="str">
        <f>"01493 652204"</f>
        <v>01493 652204</v>
      </c>
    </row>
    <row r="1385" spans="1:8">
      <c r="A1385" t="s">
        <v>5443</v>
      </c>
      <c r="B1385" t="s">
        <v>5451</v>
      </c>
      <c r="D1385" t="s">
        <v>5452</v>
      </c>
      <c r="E1385" t="s">
        <v>1412</v>
      </c>
      <c r="F1385" t="s">
        <v>5453</v>
      </c>
      <c r="G1385" t="s">
        <v>5446</v>
      </c>
      <c r="H1385" t="str">
        <f>"01986 872513"</f>
        <v>01986 872513</v>
      </c>
    </row>
    <row r="1386" spans="1:8">
      <c r="A1386" t="s">
        <v>5443</v>
      </c>
      <c r="B1386" t="s">
        <v>5454</v>
      </c>
      <c r="D1386" t="s">
        <v>2468</v>
      </c>
      <c r="E1386" t="s">
        <v>742</v>
      </c>
      <c r="F1386" t="s">
        <v>5455</v>
      </c>
      <c r="G1386" t="s">
        <v>5446</v>
      </c>
      <c r="H1386" t="str">
        <f>"01493 849200"</f>
        <v>01493 849200</v>
      </c>
    </row>
    <row r="1387" spans="1:8">
      <c r="A1387" t="s">
        <v>5456</v>
      </c>
      <c r="B1387" t="s">
        <v>5457</v>
      </c>
      <c r="C1387" t="s">
        <v>1178</v>
      </c>
      <c r="D1387" t="s">
        <v>1179</v>
      </c>
      <c r="E1387" t="s">
        <v>1180</v>
      </c>
      <c r="F1387" t="s">
        <v>5458</v>
      </c>
      <c r="G1387" t="s">
        <v>5459</v>
      </c>
      <c r="H1387" t="str">
        <f>"01604 258558"</f>
        <v>01604 258558</v>
      </c>
    </row>
    <row r="1388" spans="1:8">
      <c r="A1388" t="s">
        <v>5456</v>
      </c>
      <c r="B1388" t="s">
        <v>5461</v>
      </c>
      <c r="D1388" t="s">
        <v>5460</v>
      </c>
      <c r="E1388" t="s">
        <v>1180</v>
      </c>
      <c r="F1388" t="s">
        <v>5462</v>
      </c>
      <c r="G1388" t="s">
        <v>5463</v>
      </c>
      <c r="H1388" t="str">
        <f>"01536276727"</f>
        <v>01536276727</v>
      </c>
    </row>
    <row r="1389" spans="1:8">
      <c r="A1389" t="s">
        <v>5456</v>
      </c>
      <c r="B1389" t="s">
        <v>5464</v>
      </c>
      <c r="D1389" t="s">
        <v>5465</v>
      </c>
      <c r="E1389" t="s">
        <v>5466</v>
      </c>
      <c r="F1389" t="s">
        <v>5467</v>
      </c>
      <c r="G1389" t="s">
        <v>5463</v>
      </c>
      <c r="H1389" t="str">
        <f>"01572 756866"</f>
        <v>01572 756866</v>
      </c>
    </row>
    <row r="1390" spans="1:8">
      <c r="A1390" t="s">
        <v>5456</v>
      </c>
      <c r="B1390" t="s">
        <v>5468</v>
      </c>
      <c r="C1390" t="s">
        <v>5469</v>
      </c>
      <c r="D1390" t="s">
        <v>2080</v>
      </c>
      <c r="E1390" t="s">
        <v>184</v>
      </c>
      <c r="F1390" t="s">
        <v>5470</v>
      </c>
      <c r="G1390" t="s">
        <v>5463</v>
      </c>
      <c r="H1390" t="str">
        <f>"01438 901095"</f>
        <v>01438 901095</v>
      </c>
    </row>
    <row r="1391" spans="1:8">
      <c r="A1391" t="s">
        <v>5471</v>
      </c>
      <c r="B1391" t="s">
        <v>5472</v>
      </c>
      <c r="D1391" t="s">
        <v>2739</v>
      </c>
      <c r="E1391" t="s">
        <v>410</v>
      </c>
      <c r="F1391" t="s">
        <v>5473</v>
      </c>
      <c r="G1391" t="s">
        <v>5474</v>
      </c>
      <c r="H1391" t="str">
        <f>"01623 624505"</f>
        <v>01623 624505</v>
      </c>
    </row>
    <row r="1392" spans="1:8">
      <c r="A1392" t="s">
        <v>5475</v>
      </c>
      <c r="B1392" t="s">
        <v>5476</v>
      </c>
      <c r="C1392" t="s">
        <v>5477</v>
      </c>
      <c r="D1392" t="s">
        <v>57</v>
      </c>
      <c r="F1392" t="s">
        <v>5478</v>
      </c>
      <c r="G1392" t="s">
        <v>5479</v>
      </c>
      <c r="H1392" t="str">
        <f>"02073795114"</f>
        <v>02073795114</v>
      </c>
    </row>
    <row r="1393" spans="1:8">
      <c r="A1393" t="s">
        <v>5475</v>
      </c>
      <c r="B1393" t="s">
        <v>5480</v>
      </c>
      <c r="D1393" t="s">
        <v>927</v>
      </c>
      <c r="F1393" t="s">
        <v>5481</v>
      </c>
      <c r="G1393" t="s">
        <v>5482</v>
      </c>
      <c r="H1393" t="str">
        <f>"02073795114"</f>
        <v>02073795114</v>
      </c>
    </row>
    <row r="1394" spans="1:8">
      <c r="A1394" t="s">
        <v>5483</v>
      </c>
      <c r="B1394" t="s">
        <v>5484</v>
      </c>
      <c r="D1394" t="s">
        <v>88</v>
      </c>
      <c r="E1394" t="s">
        <v>520</v>
      </c>
      <c r="F1394" t="s">
        <v>5485</v>
      </c>
      <c r="G1394" t="s">
        <v>5486</v>
      </c>
      <c r="H1394" t="str">
        <f>"01323644222"</f>
        <v>01323644222</v>
      </c>
    </row>
    <row r="1395" spans="1:8">
      <c r="A1395" t="s">
        <v>5483</v>
      </c>
      <c r="B1395" t="s">
        <v>5487</v>
      </c>
      <c r="D1395" t="s">
        <v>4166</v>
      </c>
      <c r="F1395" t="s">
        <v>5488</v>
      </c>
      <c r="G1395" t="s">
        <v>5486</v>
      </c>
      <c r="H1395" t="str">
        <f>"01424216329"</f>
        <v>01424216329</v>
      </c>
    </row>
    <row r="1396" spans="1:8">
      <c r="A1396" t="s">
        <v>5489</v>
      </c>
      <c r="B1396" t="s">
        <v>5490</v>
      </c>
      <c r="C1396" t="s">
        <v>5491</v>
      </c>
      <c r="D1396" t="s">
        <v>1313</v>
      </c>
      <c r="E1396" t="s">
        <v>569</v>
      </c>
      <c r="F1396" t="s">
        <v>5492</v>
      </c>
      <c r="G1396" t="s">
        <v>5493</v>
      </c>
      <c r="H1396" t="str">
        <f>"0333 200 9837"</f>
        <v>0333 200 9837</v>
      </c>
    </row>
    <row r="1397" spans="1:8">
      <c r="A1397" t="s">
        <v>5489</v>
      </c>
      <c r="B1397" t="s">
        <v>5494</v>
      </c>
      <c r="D1397" t="s">
        <v>57</v>
      </c>
      <c r="F1397" t="s">
        <v>5495</v>
      </c>
      <c r="G1397" t="s">
        <v>5493</v>
      </c>
      <c r="H1397" t="str">
        <f>"0333 200 9837"</f>
        <v>0333 200 9837</v>
      </c>
    </row>
    <row r="1398" spans="1:8">
      <c r="A1398" t="s">
        <v>5489</v>
      </c>
      <c r="B1398" t="s">
        <v>5497</v>
      </c>
      <c r="C1398" t="s">
        <v>5496</v>
      </c>
      <c r="D1398" t="s">
        <v>5498</v>
      </c>
      <c r="E1398" t="s">
        <v>2112</v>
      </c>
      <c r="F1398" t="s">
        <v>5499</v>
      </c>
      <c r="G1398" t="s">
        <v>5493</v>
      </c>
      <c r="H1398" t="str">
        <f>"0333 200 9837"</f>
        <v>0333 200 9837</v>
      </c>
    </row>
    <row r="1399" spans="1:8">
      <c r="A1399" t="s">
        <v>5489</v>
      </c>
      <c r="B1399" t="s">
        <v>5500</v>
      </c>
      <c r="D1399" t="s">
        <v>766</v>
      </c>
      <c r="E1399" t="s">
        <v>2112</v>
      </c>
      <c r="F1399" t="s">
        <v>5501</v>
      </c>
      <c r="G1399" t="s">
        <v>5502</v>
      </c>
      <c r="H1399" t="str">
        <f>"0333 334 4774 "</f>
        <v xml:space="preserve">0333 334 4774 </v>
      </c>
    </row>
    <row r="1400" spans="1:8">
      <c r="A1400" t="s">
        <v>5489</v>
      </c>
      <c r="B1400" t="s">
        <v>5504</v>
      </c>
      <c r="C1400" t="s">
        <v>5505</v>
      </c>
      <c r="D1400" t="s">
        <v>5503</v>
      </c>
      <c r="E1400" t="s">
        <v>893</v>
      </c>
      <c r="F1400" t="s">
        <v>5506</v>
      </c>
      <c r="G1400" t="s">
        <v>5507</v>
      </c>
      <c r="H1400" t="str">
        <f>"0333 200 9837"</f>
        <v>0333 200 9837</v>
      </c>
    </row>
    <row r="1401" spans="1:8">
      <c r="A1401" t="s">
        <v>5508</v>
      </c>
      <c r="B1401" t="s">
        <v>5509</v>
      </c>
      <c r="C1401" t="s">
        <v>5510</v>
      </c>
      <c r="D1401" t="s">
        <v>158</v>
      </c>
      <c r="E1401" t="s">
        <v>53</v>
      </c>
      <c r="F1401" t="s">
        <v>5511</v>
      </c>
      <c r="G1401" t="s">
        <v>5512</v>
      </c>
      <c r="H1401" t="str">
        <f>"01242581481"</f>
        <v>01242581481</v>
      </c>
    </row>
    <row r="1402" spans="1:8">
      <c r="A1402" t="s">
        <v>5513</v>
      </c>
      <c r="B1402" t="s">
        <v>5514</v>
      </c>
      <c r="D1402" t="s">
        <v>549</v>
      </c>
      <c r="E1402" t="s">
        <v>309</v>
      </c>
      <c r="F1402" t="s">
        <v>5515</v>
      </c>
      <c r="G1402" t="s">
        <v>5516</v>
      </c>
      <c r="H1402" t="str">
        <f>"01392 337 000"</f>
        <v>01392 337 000</v>
      </c>
    </row>
    <row r="1403" spans="1:8">
      <c r="A1403" t="s">
        <v>5513</v>
      </c>
      <c r="B1403" t="s">
        <v>5517</v>
      </c>
      <c r="D1403" t="s">
        <v>57</v>
      </c>
      <c r="E1403" t="s">
        <v>486</v>
      </c>
      <c r="F1403" t="s">
        <v>5518</v>
      </c>
      <c r="G1403" t="s">
        <v>5516</v>
      </c>
      <c r="H1403" t="str">
        <f>"020 7544 2424"</f>
        <v>020 7544 2424</v>
      </c>
    </row>
    <row r="1404" spans="1:8">
      <c r="A1404" t="s">
        <v>5513</v>
      </c>
      <c r="B1404" t="s">
        <v>1515</v>
      </c>
      <c r="D1404" t="s">
        <v>552</v>
      </c>
      <c r="E1404" t="s">
        <v>309</v>
      </c>
      <c r="F1404" t="s">
        <v>1516</v>
      </c>
      <c r="G1404" t="s">
        <v>5516</v>
      </c>
      <c r="H1404" t="str">
        <f>"01752 526000"</f>
        <v>01752 526000</v>
      </c>
    </row>
    <row r="1405" spans="1:8">
      <c r="A1405" t="s">
        <v>5513</v>
      </c>
      <c r="B1405" t="s">
        <v>5519</v>
      </c>
      <c r="C1405" t="s">
        <v>5520</v>
      </c>
      <c r="D1405" t="s">
        <v>61</v>
      </c>
      <c r="E1405" t="s">
        <v>1956</v>
      </c>
      <c r="F1405" t="s">
        <v>5521</v>
      </c>
      <c r="G1405" t="s">
        <v>5516</v>
      </c>
      <c r="H1405" t="str">
        <f>"01173218000"</f>
        <v>01173218000</v>
      </c>
    </row>
    <row r="1406" spans="1:8">
      <c r="A1406" t="s">
        <v>5522</v>
      </c>
      <c r="B1406" t="s">
        <v>5523</v>
      </c>
      <c r="D1406" t="s">
        <v>213</v>
      </c>
      <c r="E1406" t="s">
        <v>227</v>
      </c>
      <c r="F1406" t="s">
        <v>5524</v>
      </c>
      <c r="G1406" t="s">
        <v>5525</v>
      </c>
      <c r="H1406" t="str">
        <f>"01709377412"</f>
        <v>01709377412</v>
      </c>
    </row>
    <row r="1407" spans="1:8">
      <c r="A1407" t="s">
        <v>5526</v>
      </c>
      <c r="B1407" t="s">
        <v>5527</v>
      </c>
      <c r="C1407" t="s">
        <v>5528</v>
      </c>
      <c r="D1407" t="s">
        <v>3803</v>
      </c>
      <c r="E1407" t="s">
        <v>1487</v>
      </c>
      <c r="F1407" t="s">
        <v>5529</v>
      </c>
      <c r="G1407" t="s">
        <v>5530</v>
      </c>
      <c r="H1407" t="str">
        <f>"01388 528517"</f>
        <v>01388 528517</v>
      </c>
    </row>
    <row r="1408" spans="1:8">
      <c r="A1408" t="s">
        <v>5526</v>
      </c>
      <c r="B1408" t="s">
        <v>5531</v>
      </c>
      <c r="D1408" t="s">
        <v>3803</v>
      </c>
      <c r="E1408" t="s">
        <v>1487</v>
      </c>
      <c r="F1408" t="s">
        <v>5532</v>
      </c>
      <c r="G1408" t="s">
        <v>5530</v>
      </c>
      <c r="H1408" t="str">
        <f>"01388 662222"</f>
        <v>01388 662222</v>
      </c>
    </row>
    <row r="1409" spans="1:8">
      <c r="A1409" t="s">
        <v>5533</v>
      </c>
      <c r="B1409" t="s">
        <v>5534</v>
      </c>
      <c r="D1409" t="s">
        <v>3011</v>
      </c>
      <c r="E1409" t="s">
        <v>3199</v>
      </c>
      <c r="F1409" t="s">
        <v>5535</v>
      </c>
      <c r="G1409" t="s">
        <v>5536</v>
      </c>
      <c r="H1409" t="str">
        <f>"01267 600321"</f>
        <v>01267 600321</v>
      </c>
    </row>
    <row r="1410" spans="1:8">
      <c r="A1410" t="s">
        <v>5537</v>
      </c>
      <c r="B1410" t="s">
        <v>5538</v>
      </c>
      <c r="C1410" t="s">
        <v>5539</v>
      </c>
      <c r="D1410" t="s">
        <v>14</v>
      </c>
      <c r="E1410" t="s">
        <v>16</v>
      </c>
      <c r="F1410" t="s">
        <v>5540</v>
      </c>
      <c r="G1410" t="s">
        <v>5541</v>
      </c>
      <c r="H1410" t="str">
        <f>"0121 733 4307"</f>
        <v>0121 733 4307</v>
      </c>
    </row>
    <row r="1411" spans="1:8">
      <c r="A1411" t="s">
        <v>5537</v>
      </c>
      <c r="B1411" t="s">
        <v>5542</v>
      </c>
      <c r="D1411" t="s">
        <v>14</v>
      </c>
      <c r="E1411" t="s">
        <v>16</v>
      </c>
      <c r="F1411" t="s">
        <v>5543</v>
      </c>
      <c r="G1411" t="s">
        <v>5544</v>
      </c>
      <c r="H1411" t="str">
        <f>"0121 2334333"</f>
        <v>0121 2334333</v>
      </c>
    </row>
    <row r="1412" spans="1:8">
      <c r="A1412" t="s">
        <v>5537</v>
      </c>
      <c r="B1412" t="s">
        <v>5545</v>
      </c>
      <c r="C1412" t="s">
        <v>1541</v>
      </c>
      <c r="D1412" t="s">
        <v>3194</v>
      </c>
      <c r="E1412" t="s">
        <v>16</v>
      </c>
      <c r="F1412" t="s">
        <v>5546</v>
      </c>
      <c r="G1412" t="s">
        <v>5544</v>
      </c>
      <c r="H1412" t="str">
        <f>"0121 7338000"</f>
        <v>0121 7338000</v>
      </c>
    </row>
    <row r="1413" spans="1:8">
      <c r="A1413" t="s">
        <v>5537</v>
      </c>
      <c r="B1413" t="s">
        <v>5547</v>
      </c>
      <c r="D1413" t="s">
        <v>14</v>
      </c>
      <c r="F1413" t="s">
        <v>5548</v>
      </c>
      <c r="G1413" t="s">
        <v>5544</v>
      </c>
      <c r="H1413" t="str">
        <f>"0121 233 4333"</f>
        <v>0121 233 4333</v>
      </c>
    </row>
    <row r="1414" spans="1:8">
      <c r="A1414" t="s">
        <v>5549</v>
      </c>
      <c r="B1414" t="s">
        <v>1659</v>
      </c>
      <c r="C1414" t="s">
        <v>5550</v>
      </c>
      <c r="D1414" t="s">
        <v>355</v>
      </c>
      <c r="E1414" t="s">
        <v>280</v>
      </c>
      <c r="F1414" t="s">
        <v>5551</v>
      </c>
      <c r="G1414" t="s">
        <v>5552</v>
      </c>
      <c r="H1414" t="str">
        <f>"0113 246 0622"</f>
        <v>0113 246 0622</v>
      </c>
    </row>
    <row r="1415" spans="1:8">
      <c r="A1415" t="s">
        <v>5553</v>
      </c>
      <c r="B1415" t="s">
        <v>5554</v>
      </c>
      <c r="D1415" t="s">
        <v>2299</v>
      </c>
      <c r="E1415" t="s">
        <v>200</v>
      </c>
      <c r="F1415" t="s">
        <v>5555</v>
      </c>
      <c r="G1415" t="s">
        <v>5556</v>
      </c>
      <c r="H1415" t="str">
        <f>"01932 852057"</f>
        <v>01932 852057</v>
      </c>
    </row>
    <row r="1416" spans="1:8">
      <c r="A1416" t="s">
        <v>5553</v>
      </c>
      <c r="B1416" t="s">
        <v>5557</v>
      </c>
      <c r="C1416" t="s">
        <v>5558</v>
      </c>
      <c r="D1416" t="s">
        <v>57</v>
      </c>
      <c r="F1416" t="s">
        <v>352</v>
      </c>
      <c r="G1416" t="s">
        <v>5556</v>
      </c>
      <c r="H1416" t="str">
        <f>"020 3918 1354"</f>
        <v>020 3918 1354</v>
      </c>
    </row>
    <row r="1417" spans="1:8">
      <c r="A1417" t="s">
        <v>5553</v>
      </c>
      <c r="B1417" t="s">
        <v>5559</v>
      </c>
      <c r="D1417" t="s">
        <v>4436</v>
      </c>
      <c r="F1417" t="s">
        <v>5560</v>
      </c>
      <c r="G1417" t="s">
        <v>5556</v>
      </c>
      <c r="H1417" t="str">
        <f>"01822 614461"</f>
        <v>01822 614461</v>
      </c>
    </row>
    <row r="1418" spans="1:8">
      <c r="A1418" t="s">
        <v>5561</v>
      </c>
      <c r="B1418" t="s">
        <v>5562</v>
      </c>
      <c r="D1418" t="s">
        <v>440</v>
      </c>
      <c r="E1418" t="s">
        <v>315</v>
      </c>
      <c r="F1418" t="s">
        <v>5563</v>
      </c>
      <c r="G1418" t="s">
        <v>5564</v>
      </c>
      <c r="H1418" t="str">
        <f>"01244 357298"</f>
        <v>01244 357298</v>
      </c>
    </row>
    <row r="1419" spans="1:8">
      <c r="A1419" t="s">
        <v>5561</v>
      </c>
      <c r="B1419" t="s">
        <v>5565</v>
      </c>
      <c r="D1419" t="s">
        <v>892</v>
      </c>
      <c r="F1419" t="s">
        <v>5566</v>
      </c>
      <c r="G1419" t="s">
        <v>5564</v>
      </c>
      <c r="H1419" t="str">
        <f>"0151 647 6000"</f>
        <v>0151 647 6000</v>
      </c>
    </row>
    <row r="1420" spans="1:8">
      <c r="A1420" t="s">
        <v>5567</v>
      </c>
      <c r="B1420" t="s">
        <v>5568</v>
      </c>
      <c r="D1420" t="s">
        <v>5569</v>
      </c>
      <c r="F1420" t="s">
        <v>5570</v>
      </c>
      <c r="G1420" t="s">
        <v>5571</v>
      </c>
      <c r="H1420" t="str">
        <f>"02085742488"</f>
        <v>02085742488</v>
      </c>
    </row>
    <row r="1421" spans="1:8">
      <c r="A1421" t="s">
        <v>5567</v>
      </c>
      <c r="B1421" t="s">
        <v>5573</v>
      </c>
      <c r="D1421" t="s">
        <v>5572</v>
      </c>
      <c r="F1421" t="s">
        <v>5574</v>
      </c>
      <c r="G1421" t="s">
        <v>5575</v>
      </c>
      <c r="H1421" t="str">
        <f>"01753 887777"</f>
        <v>01753 887777</v>
      </c>
    </row>
    <row r="1422" spans="1:8">
      <c r="A1422" t="s">
        <v>5576</v>
      </c>
      <c r="B1422" t="s">
        <v>5577</v>
      </c>
      <c r="D1422" t="s">
        <v>3761</v>
      </c>
      <c r="E1422" t="s">
        <v>184</v>
      </c>
      <c r="F1422" t="s">
        <v>5578</v>
      </c>
      <c r="G1422" t="s">
        <v>5579</v>
      </c>
      <c r="H1422" t="str">
        <f>"01707 664888"</f>
        <v>01707 664888</v>
      </c>
    </row>
    <row r="1423" spans="1:8">
      <c r="A1423" t="s">
        <v>5580</v>
      </c>
      <c r="B1423" t="s">
        <v>5581</v>
      </c>
      <c r="D1423" t="s">
        <v>1893</v>
      </c>
      <c r="E1423" t="s">
        <v>121</v>
      </c>
      <c r="F1423" t="s">
        <v>5582</v>
      </c>
      <c r="G1423" t="s">
        <v>5583</v>
      </c>
      <c r="H1423" t="str">
        <f>"023 9244 8100"</f>
        <v>023 9244 8100</v>
      </c>
    </row>
    <row r="1424" spans="1:8">
      <c r="A1424" t="s">
        <v>5580</v>
      </c>
      <c r="B1424" t="s">
        <v>5584</v>
      </c>
      <c r="D1424" t="s">
        <v>1896</v>
      </c>
      <c r="E1424" t="s">
        <v>121</v>
      </c>
      <c r="F1424" t="s">
        <v>5585</v>
      </c>
      <c r="G1424" t="s">
        <v>5583</v>
      </c>
      <c r="H1424" t="str">
        <f>"02392 246666"</f>
        <v>02392 246666</v>
      </c>
    </row>
    <row r="1425" spans="1:8">
      <c r="A1425" t="s">
        <v>5586</v>
      </c>
      <c r="B1425" t="s">
        <v>5587</v>
      </c>
      <c r="D1425" t="s">
        <v>1179</v>
      </c>
      <c r="E1425" t="s">
        <v>1180</v>
      </c>
      <c r="F1425" t="s">
        <v>5588</v>
      </c>
      <c r="G1425" t="s">
        <v>5589</v>
      </c>
      <c r="H1425" t="str">
        <f>"01604828282"</f>
        <v>01604828282</v>
      </c>
    </row>
    <row r="1426" spans="1:8">
      <c r="A1426" t="s">
        <v>5586</v>
      </c>
      <c r="B1426" t="s">
        <v>5590</v>
      </c>
      <c r="D1426" t="s">
        <v>1179</v>
      </c>
      <c r="E1426" t="s">
        <v>1180</v>
      </c>
      <c r="F1426" t="s">
        <v>5591</v>
      </c>
      <c r="G1426" t="s">
        <v>5592</v>
      </c>
      <c r="H1426" t="str">
        <f>"01604 828282"</f>
        <v>01604 828282</v>
      </c>
    </row>
    <row r="1427" spans="1:8">
      <c r="A1427" t="s">
        <v>5586</v>
      </c>
      <c r="B1427" t="s">
        <v>5593</v>
      </c>
      <c r="C1427" t="s">
        <v>5594</v>
      </c>
      <c r="D1427" t="s">
        <v>187</v>
      </c>
      <c r="E1427" t="s">
        <v>990</v>
      </c>
      <c r="F1427" t="s">
        <v>5595</v>
      </c>
      <c r="G1427" t="s">
        <v>5589</v>
      </c>
      <c r="H1427" t="str">
        <f>"01908 660966"</f>
        <v>01908 660966</v>
      </c>
    </row>
    <row r="1428" spans="1:8">
      <c r="A1428" t="s">
        <v>5596</v>
      </c>
      <c r="B1428" t="s">
        <v>5597</v>
      </c>
      <c r="D1428" t="s">
        <v>868</v>
      </c>
      <c r="E1428" t="s">
        <v>121</v>
      </c>
      <c r="F1428" t="s">
        <v>5598</v>
      </c>
      <c r="G1428" t="s">
        <v>5599</v>
      </c>
      <c r="H1428" t="str">
        <f>"01962 844333"</f>
        <v>01962 844333</v>
      </c>
    </row>
    <row r="1429" spans="1:8">
      <c r="A1429" t="s">
        <v>5596</v>
      </c>
      <c r="B1429" t="s">
        <v>5600</v>
      </c>
      <c r="C1429" t="s">
        <v>5601</v>
      </c>
      <c r="D1429" t="s">
        <v>1553</v>
      </c>
      <c r="F1429" t="s">
        <v>5602</v>
      </c>
      <c r="G1429" t="s">
        <v>5599</v>
      </c>
      <c r="H1429" t="str">
        <f>"01202 315005"</f>
        <v>01202 315005</v>
      </c>
    </row>
    <row r="1430" spans="1:8">
      <c r="A1430" t="s">
        <v>5596</v>
      </c>
      <c r="B1430" t="s">
        <v>5604</v>
      </c>
      <c r="C1430" t="s">
        <v>5603</v>
      </c>
      <c r="D1430" t="s">
        <v>5605</v>
      </c>
      <c r="E1430" t="s">
        <v>121</v>
      </c>
      <c r="F1430" t="s">
        <v>5606</v>
      </c>
      <c r="G1430" t="s">
        <v>5599</v>
      </c>
      <c r="H1430" t="str">
        <f>"02380 221344"</f>
        <v>02380 221344</v>
      </c>
    </row>
    <row r="1431" spans="1:8">
      <c r="A1431" t="s">
        <v>5596</v>
      </c>
      <c r="B1431" t="s">
        <v>5607</v>
      </c>
      <c r="D1431" t="s">
        <v>5411</v>
      </c>
      <c r="F1431" t="s">
        <v>5608</v>
      </c>
      <c r="G1431" t="s">
        <v>5609</v>
      </c>
      <c r="H1431" t="str">
        <f>"01483 755609 "</f>
        <v xml:space="preserve">01483 755609 </v>
      </c>
    </row>
    <row r="1432" spans="1:8">
      <c r="A1432" t="s">
        <v>5596</v>
      </c>
      <c r="B1432" t="s">
        <v>5610</v>
      </c>
      <c r="D1432" t="s">
        <v>892</v>
      </c>
      <c r="F1432" t="s">
        <v>5611</v>
      </c>
      <c r="G1432" t="s">
        <v>5599</v>
      </c>
      <c r="H1432" t="str">
        <f>"01515590130"</f>
        <v>01515590130</v>
      </c>
    </row>
    <row r="1433" spans="1:8">
      <c r="A1433" t="s">
        <v>5612</v>
      </c>
      <c r="B1433" t="s">
        <v>5613</v>
      </c>
      <c r="C1433" t="s">
        <v>5614</v>
      </c>
      <c r="D1433" t="s">
        <v>5615</v>
      </c>
      <c r="E1433" t="s">
        <v>227</v>
      </c>
      <c r="F1433" t="s">
        <v>5616</v>
      </c>
      <c r="G1433" t="s">
        <v>5617</v>
      </c>
      <c r="H1433" t="str">
        <f>"01142511111"</f>
        <v>01142511111</v>
      </c>
    </row>
    <row r="1434" spans="1:8">
      <c r="A1434" t="s">
        <v>5618</v>
      </c>
      <c r="B1434" t="s">
        <v>5619</v>
      </c>
      <c r="C1434" t="s">
        <v>5620</v>
      </c>
      <c r="D1434" t="s">
        <v>57</v>
      </c>
      <c r="F1434" t="s">
        <v>5621</v>
      </c>
      <c r="G1434" t="s">
        <v>5622</v>
      </c>
      <c r="H1434" t="str">
        <f>"02085204416"</f>
        <v>02085204416</v>
      </c>
    </row>
    <row r="1435" spans="1:8">
      <c r="A1435" t="s">
        <v>5623</v>
      </c>
      <c r="B1435" t="s">
        <v>5624</v>
      </c>
      <c r="D1435" t="s">
        <v>297</v>
      </c>
      <c r="E1435" t="s">
        <v>132</v>
      </c>
      <c r="F1435" t="s">
        <v>5625</v>
      </c>
      <c r="G1435" t="s">
        <v>5626</v>
      </c>
      <c r="H1435" t="str">
        <f>"0161 2563915"</f>
        <v>0161 2563915</v>
      </c>
    </row>
    <row r="1436" spans="1:8">
      <c r="A1436" t="s">
        <v>5627</v>
      </c>
      <c r="B1436" t="s">
        <v>5628</v>
      </c>
      <c r="C1436" t="s">
        <v>1224</v>
      </c>
      <c r="D1436" t="s">
        <v>1103</v>
      </c>
      <c r="F1436" t="s">
        <v>1225</v>
      </c>
      <c r="G1436" t="s">
        <v>5629</v>
      </c>
      <c r="H1436" t="str">
        <f>"01743341770"</f>
        <v>01743341770</v>
      </c>
    </row>
    <row r="1437" spans="1:8">
      <c r="A1437" t="s">
        <v>5630</v>
      </c>
      <c r="B1437" t="s">
        <v>5631</v>
      </c>
      <c r="D1437" t="s">
        <v>1111</v>
      </c>
      <c r="E1437" t="s">
        <v>16</v>
      </c>
      <c r="F1437" t="s">
        <v>5632</v>
      </c>
      <c r="G1437" t="s">
        <v>5633</v>
      </c>
      <c r="H1437" t="str">
        <f>"01902429051"</f>
        <v>01902429051</v>
      </c>
    </row>
    <row r="1438" spans="1:8">
      <c r="A1438" t="s">
        <v>5634</v>
      </c>
      <c r="B1438" t="s">
        <v>5635</v>
      </c>
      <c r="D1438" t="s">
        <v>5636</v>
      </c>
      <c r="F1438" t="s">
        <v>5637</v>
      </c>
      <c r="G1438" t="s">
        <v>5638</v>
      </c>
      <c r="H1438" t="str">
        <f>"01225866563"</f>
        <v>01225866563</v>
      </c>
    </row>
    <row r="1439" spans="1:8">
      <c r="A1439" t="s">
        <v>5639</v>
      </c>
      <c r="B1439" t="s">
        <v>5640</v>
      </c>
      <c r="D1439" t="s">
        <v>1572</v>
      </c>
      <c r="E1439" t="s">
        <v>164</v>
      </c>
      <c r="F1439" t="s">
        <v>5641</v>
      </c>
      <c r="G1439" t="s">
        <v>5642</v>
      </c>
      <c r="H1439" t="str">
        <f>"01305 544015"</f>
        <v>01305 544015</v>
      </c>
    </row>
    <row r="1440" spans="1:8">
      <c r="A1440" t="s">
        <v>5643</v>
      </c>
      <c r="B1440" t="s">
        <v>5644</v>
      </c>
      <c r="D1440" t="s">
        <v>5645</v>
      </c>
      <c r="E1440" t="s">
        <v>1936</v>
      </c>
      <c r="F1440" t="s">
        <v>5646</v>
      </c>
      <c r="G1440" t="s">
        <v>5647</v>
      </c>
      <c r="H1440" t="str">
        <f>"01248 362551"</f>
        <v>01248 362551</v>
      </c>
    </row>
    <row r="1441" spans="1:8">
      <c r="A1441" t="s">
        <v>5643</v>
      </c>
      <c r="B1441" t="s">
        <v>5648</v>
      </c>
      <c r="D1441" t="s">
        <v>5649</v>
      </c>
      <c r="E1441" t="s">
        <v>4424</v>
      </c>
      <c r="F1441" t="s">
        <v>5650</v>
      </c>
      <c r="G1441" t="s">
        <v>5651</v>
      </c>
      <c r="H1441" t="str">
        <f>"01492 622 377"</f>
        <v>01492 622 377</v>
      </c>
    </row>
    <row r="1442" spans="1:8">
      <c r="A1442" t="s">
        <v>5643</v>
      </c>
      <c r="B1442" t="s">
        <v>5653</v>
      </c>
      <c r="D1442" t="s">
        <v>5652</v>
      </c>
      <c r="E1442" t="s">
        <v>4424</v>
      </c>
      <c r="F1442" t="s">
        <v>5654</v>
      </c>
      <c r="G1442" t="s">
        <v>5651</v>
      </c>
      <c r="H1442" t="str">
        <f>"01248 680527"</f>
        <v>01248 680527</v>
      </c>
    </row>
    <row r="1443" spans="1:8">
      <c r="A1443" t="s">
        <v>5655</v>
      </c>
      <c r="B1443" t="s">
        <v>5656</v>
      </c>
      <c r="D1443" t="s">
        <v>5657</v>
      </c>
      <c r="E1443" t="s">
        <v>760</v>
      </c>
      <c r="F1443" t="s">
        <v>5658</v>
      </c>
      <c r="G1443" t="s">
        <v>5659</v>
      </c>
      <c r="H1443" t="str">
        <f>"01865883344"</f>
        <v>01865883344</v>
      </c>
    </row>
    <row r="1444" spans="1:8">
      <c r="A1444" t="s">
        <v>5655</v>
      </c>
      <c r="B1444" t="s">
        <v>5660</v>
      </c>
      <c r="C1444" t="s">
        <v>5661</v>
      </c>
      <c r="D1444" t="s">
        <v>2937</v>
      </c>
      <c r="E1444" t="s">
        <v>5662</v>
      </c>
      <c r="F1444" t="s">
        <v>5663</v>
      </c>
      <c r="G1444" t="s">
        <v>5664</v>
      </c>
      <c r="H1444" t="str">
        <f>"01865 883344"</f>
        <v>01865 883344</v>
      </c>
    </row>
    <row r="1445" spans="1:8">
      <c r="A1445" t="s">
        <v>5665</v>
      </c>
      <c r="B1445" t="s">
        <v>5666</v>
      </c>
      <c r="D1445" t="s">
        <v>2816</v>
      </c>
      <c r="E1445" t="s">
        <v>893</v>
      </c>
      <c r="F1445" t="s">
        <v>4453</v>
      </c>
      <c r="G1445" t="s">
        <v>5667</v>
      </c>
      <c r="H1445" t="str">
        <f>"01704531991"</f>
        <v>01704531991</v>
      </c>
    </row>
    <row r="1446" spans="1:8">
      <c r="A1446" t="s">
        <v>5665</v>
      </c>
      <c r="B1446" t="s">
        <v>5668</v>
      </c>
      <c r="C1446" t="s">
        <v>5669</v>
      </c>
      <c r="D1446" t="s">
        <v>2816</v>
      </c>
      <c r="E1446" t="s">
        <v>893</v>
      </c>
      <c r="F1446" t="s">
        <v>5670</v>
      </c>
      <c r="G1446" t="s">
        <v>5671</v>
      </c>
      <c r="H1446" t="str">
        <f>"01704 577171"</f>
        <v>01704 577171</v>
      </c>
    </row>
    <row r="1447" spans="1:8">
      <c r="A1447" t="s">
        <v>5672</v>
      </c>
      <c r="B1447" t="s">
        <v>5673</v>
      </c>
      <c r="D1447" t="s">
        <v>5295</v>
      </c>
      <c r="E1447" t="s">
        <v>171</v>
      </c>
      <c r="F1447" t="s">
        <v>5674</v>
      </c>
      <c r="G1447" t="s">
        <v>5675</v>
      </c>
      <c r="H1447" t="str">
        <f>"01233 625 711"</f>
        <v>01233 625 711</v>
      </c>
    </row>
    <row r="1448" spans="1:8">
      <c r="A1448" t="s">
        <v>5672</v>
      </c>
      <c r="B1448" t="s">
        <v>5676</v>
      </c>
      <c r="C1448" t="s">
        <v>5677</v>
      </c>
      <c r="D1448" t="s">
        <v>170</v>
      </c>
      <c r="E1448" t="s">
        <v>171</v>
      </c>
      <c r="F1448" t="s">
        <v>5678</v>
      </c>
      <c r="G1448" t="s">
        <v>5679</v>
      </c>
      <c r="H1448" t="str">
        <f>"01622 850455"</f>
        <v>01622 850455</v>
      </c>
    </row>
    <row r="1449" spans="1:8">
      <c r="A1449" t="s">
        <v>5672</v>
      </c>
      <c r="B1449" t="s">
        <v>5681</v>
      </c>
      <c r="D1449" t="s">
        <v>5680</v>
      </c>
      <c r="F1449" t="s">
        <v>5682</v>
      </c>
      <c r="G1449" t="s">
        <v>5675</v>
      </c>
      <c r="H1449" t="str">
        <f>"01795 436111"</f>
        <v>01795 436111</v>
      </c>
    </row>
    <row r="1450" spans="1:8">
      <c r="A1450" t="s">
        <v>5683</v>
      </c>
      <c r="B1450" t="s">
        <v>5684</v>
      </c>
      <c r="D1450" t="s">
        <v>5685</v>
      </c>
      <c r="E1450" t="s">
        <v>893</v>
      </c>
      <c r="F1450" t="s">
        <v>5686</v>
      </c>
      <c r="G1450" t="s">
        <v>5687</v>
      </c>
      <c r="H1450" t="str">
        <f>"01744 733333"</f>
        <v>01744 733333</v>
      </c>
    </row>
    <row r="1451" spans="1:8">
      <c r="A1451" t="s">
        <v>5683</v>
      </c>
      <c r="B1451" t="s">
        <v>5688</v>
      </c>
      <c r="D1451" t="s">
        <v>2594</v>
      </c>
      <c r="E1451" t="s">
        <v>893</v>
      </c>
      <c r="F1451" t="s">
        <v>5689</v>
      </c>
      <c r="G1451" t="s">
        <v>5687</v>
      </c>
      <c r="H1451" t="str">
        <f>"01744 733333 "</f>
        <v xml:space="preserve">01744 733333 </v>
      </c>
    </row>
    <row r="1452" spans="1:8">
      <c r="A1452" t="s">
        <v>5683</v>
      </c>
      <c r="B1452" t="s">
        <v>5691</v>
      </c>
      <c r="D1452" t="s">
        <v>5690</v>
      </c>
      <c r="E1452" t="s">
        <v>2594</v>
      </c>
      <c r="F1452" t="s">
        <v>5692</v>
      </c>
      <c r="G1452" t="s">
        <v>5687</v>
      </c>
      <c r="H1452" t="str">
        <f>"01744 733333"</f>
        <v>01744 733333</v>
      </c>
    </row>
    <row r="1453" spans="1:8">
      <c r="A1453" t="s">
        <v>5693</v>
      </c>
      <c r="B1453" t="s">
        <v>5694</v>
      </c>
      <c r="D1453" t="s">
        <v>5194</v>
      </c>
      <c r="E1453" t="s">
        <v>11</v>
      </c>
      <c r="F1453" t="s">
        <v>5695</v>
      </c>
      <c r="G1453" t="s">
        <v>5696</v>
      </c>
      <c r="H1453" t="str">
        <f>"01684 563318"</f>
        <v>01684 563318</v>
      </c>
    </row>
    <row r="1454" spans="1:8">
      <c r="A1454" t="s">
        <v>5697</v>
      </c>
      <c r="B1454" t="s">
        <v>5698</v>
      </c>
      <c r="D1454" t="s">
        <v>57</v>
      </c>
      <c r="E1454" t="s">
        <v>57</v>
      </c>
      <c r="F1454" t="s">
        <v>5699</v>
      </c>
      <c r="G1454" t="s">
        <v>5700</v>
      </c>
      <c r="H1454" t="str">
        <f>"02074276583"</f>
        <v>02074276583</v>
      </c>
    </row>
    <row r="1455" spans="1:8">
      <c r="A1455" t="s">
        <v>5697</v>
      </c>
      <c r="B1455" t="s">
        <v>5701</v>
      </c>
      <c r="C1455" t="s">
        <v>5702</v>
      </c>
      <c r="D1455" t="s">
        <v>158</v>
      </c>
      <c r="E1455" t="s">
        <v>53</v>
      </c>
      <c r="F1455" t="s">
        <v>5703</v>
      </c>
      <c r="G1455" t="s">
        <v>5704</v>
      </c>
      <c r="H1455" t="str">
        <f>"01242221122"</f>
        <v>01242221122</v>
      </c>
    </row>
    <row r="1456" spans="1:8">
      <c r="A1456" t="s">
        <v>5697</v>
      </c>
      <c r="B1456" t="s">
        <v>5705</v>
      </c>
      <c r="C1456" t="s">
        <v>5706</v>
      </c>
      <c r="D1456" t="s">
        <v>481</v>
      </c>
      <c r="E1456" t="s">
        <v>200</v>
      </c>
      <c r="F1456" t="s">
        <v>5707</v>
      </c>
      <c r="G1456" t="s">
        <v>5708</v>
      </c>
      <c r="H1456" t="str">
        <f>"01483252525"</f>
        <v>01483252525</v>
      </c>
    </row>
    <row r="1457" spans="1:8">
      <c r="A1457" t="s">
        <v>5709</v>
      </c>
      <c r="B1457" t="s">
        <v>5710</v>
      </c>
      <c r="C1457" t="s">
        <v>5711</v>
      </c>
      <c r="D1457" t="s">
        <v>303</v>
      </c>
      <c r="E1457" t="s">
        <v>303</v>
      </c>
      <c r="F1457" t="s">
        <v>5712</v>
      </c>
      <c r="G1457" t="s">
        <v>5713</v>
      </c>
      <c r="H1457" t="str">
        <f>"02920616002"</f>
        <v>02920616002</v>
      </c>
    </row>
    <row r="1458" spans="1:8">
      <c r="A1458" t="s">
        <v>5714</v>
      </c>
      <c r="B1458" t="s">
        <v>5715</v>
      </c>
      <c r="D1458" t="s">
        <v>5716</v>
      </c>
      <c r="E1458" t="s">
        <v>315</v>
      </c>
      <c r="F1458" t="s">
        <v>5717</v>
      </c>
      <c r="G1458" t="s">
        <v>5718</v>
      </c>
      <c r="H1458" t="str">
        <f>"01925632676"</f>
        <v>01925632676</v>
      </c>
    </row>
    <row r="1459" spans="1:8">
      <c r="A1459" t="s">
        <v>5714</v>
      </c>
      <c r="B1459" t="s">
        <v>5720</v>
      </c>
      <c r="C1459" t="s">
        <v>5719</v>
      </c>
      <c r="D1459" t="s">
        <v>5716</v>
      </c>
      <c r="E1459" t="s">
        <v>315</v>
      </c>
      <c r="F1459" t="s">
        <v>5721</v>
      </c>
      <c r="G1459" t="s">
        <v>5722</v>
      </c>
      <c r="H1459" t="str">
        <f>"01925261354"</f>
        <v>01925261354</v>
      </c>
    </row>
    <row r="1460" spans="1:8">
      <c r="A1460" t="s">
        <v>5723</v>
      </c>
      <c r="B1460" t="s">
        <v>5724</v>
      </c>
      <c r="C1460" t="s">
        <v>5725</v>
      </c>
      <c r="D1460" t="s">
        <v>297</v>
      </c>
      <c r="F1460" t="s">
        <v>5726</v>
      </c>
      <c r="G1460" t="s">
        <v>5727</v>
      </c>
      <c r="H1460" t="str">
        <f>"0161 832 6905"</f>
        <v>0161 832 6905</v>
      </c>
    </row>
    <row r="1461" spans="1:8">
      <c r="A1461" t="s">
        <v>5728</v>
      </c>
      <c r="B1461" t="s">
        <v>5729</v>
      </c>
      <c r="C1461" t="s">
        <v>5730</v>
      </c>
      <c r="D1461" t="s">
        <v>5269</v>
      </c>
      <c r="E1461" t="s">
        <v>736</v>
      </c>
      <c r="F1461" t="s">
        <v>5731</v>
      </c>
      <c r="G1461" t="s">
        <v>5732</v>
      </c>
      <c r="H1461" t="str">
        <f>"01206835300"</f>
        <v>01206835300</v>
      </c>
    </row>
    <row r="1462" spans="1:8">
      <c r="A1462" t="s">
        <v>5728</v>
      </c>
      <c r="B1462" t="s">
        <v>5734</v>
      </c>
      <c r="D1462" t="s">
        <v>5733</v>
      </c>
      <c r="E1462" t="s">
        <v>736</v>
      </c>
      <c r="F1462" t="s">
        <v>737</v>
      </c>
      <c r="G1462" t="s">
        <v>5732</v>
      </c>
      <c r="H1462" t="str">
        <f>"01255323103"</f>
        <v>01255323103</v>
      </c>
    </row>
    <row r="1463" spans="1:8">
      <c r="A1463" t="s">
        <v>5728</v>
      </c>
      <c r="B1463" t="s">
        <v>1869</v>
      </c>
      <c r="D1463" t="s">
        <v>1977</v>
      </c>
      <c r="E1463" t="s">
        <v>736</v>
      </c>
      <c r="F1463" t="s">
        <v>1979</v>
      </c>
      <c r="G1463" t="s">
        <v>5732</v>
      </c>
      <c r="H1463" t="str">
        <f>"01277623132"</f>
        <v>01277623132</v>
      </c>
    </row>
    <row r="1464" spans="1:8">
      <c r="A1464" t="s">
        <v>5728</v>
      </c>
      <c r="B1464" t="s">
        <v>5735</v>
      </c>
      <c r="D1464" t="s">
        <v>1443</v>
      </c>
      <c r="E1464" t="s">
        <v>736</v>
      </c>
      <c r="F1464" t="s">
        <v>1661</v>
      </c>
      <c r="G1464" t="s">
        <v>5732</v>
      </c>
      <c r="H1464" t="str">
        <f>"01245890110"</f>
        <v>01245890110</v>
      </c>
    </row>
    <row r="1465" spans="1:8">
      <c r="A1465" t="s">
        <v>5728</v>
      </c>
      <c r="B1465" t="s">
        <v>5737</v>
      </c>
      <c r="D1465" t="s">
        <v>5736</v>
      </c>
      <c r="F1465" t="s">
        <v>5738</v>
      </c>
      <c r="G1465" t="s">
        <v>5732</v>
      </c>
      <c r="H1465" t="str">
        <f>"01376 552828"</f>
        <v>01376 552828</v>
      </c>
    </row>
    <row r="1466" spans="1:8">
      <c r="A1466" t="s">
        <v>5728</v>
      </c>
      <c r="B1466" t="s">
        <v>5740</v>
      </c>
      <c r="D1466" t="s">
        <v>5739</v>
      </c>
      <c r="F1466" t="s">
        <v>5741</v>
      </c>
      <c r="G1466" t="s">
        <v>5732</v>
      </c>
      <c r="H1466" t="str">
        <f>"01787 373387"</f>
        <v>01787 373387</v>
      </c>
    </row>
    <row r="1467" spans="1:8">
      <c r="A1467" t="s">
        <v>5742</v>
      </c>
      <c r="B1467" t="s">
        <v>4743</v>
      </c>
      <c r="D1467" t="s">
        <v>199</v>
      </c>
      <c r="E1467" t="s">
        <v>200</v>
      </c>
      <c r="F1467" t="s">
        <v>5743</v>
      </c>
      <c r="G1467" t="s">
        <v>5744</v>
      </c>
      <c r="H1467" t="str">
        <f>"01428656011"</f>
        <v>01428656011</v>
      </c>
    </row>
    <row r="1468" spans="1:8">
      <c r="A1468" t="s">
        <v>5742</v>
      </c>
      <c r="B1468" t="s">
        <v>5745</v>
      </c>
      <c r="D1468" t="s">
        <v>5746</v>
      </c>
      <c r="E1468" t="s">
        <v>121</v>
      </c>
      <c r="F1468" t="s">
        <v>5747</v>
      </c>
      <c r="G1468" t="s">
        <v>5744</v>
      </c>
      <c r="H1468" t="str">
        <f>"01730262401"</f>
        <v>01730262401</v>
      </c>
    </row>
    <row r="1469" spans="1:8">
      <c r="A1469" t="s">
        <v>5742</v>
      </c>
      <c r="B1469" t="s">
        <v>5749</v>
      </c>
      <c r="D1469" t="s">
        <v>5748</v>
      </c>
      <c r="E1469" t="s">
        <v>121</v>
      </c>
      <c r="F1469" t="s">
        <v>5750</v>
      </c>
      <c r="G1469" t="s">
        <v>5744</v>
      </c>
      <c r="H1469" t="str">
        <f>"01428 722334"</f>
        <v>01428 722334</v>
      </c>
    </row>
    <row r="1470" spans="1:8">
      <c r="A1470" t="s">
        <v>5751</v>
      </c>
      <c r="B1470" t="s">
        <v>5752</v>
      </c>
      <c r="D1470" t="s">
        <v>120</v>
      </c>
      <c r="E1470" t="s">
        <v>121</v>
      </c>
      <c r="F1470" t="s">
        <v>5753</v>
      </c>
      <c r="G1470" t="s">
        <v>5754</v>
      </c>
      <c r="H1470" t="str">
        <f>"01329 288121"</f>
        <v>01329 288121</v>
      </c>
    </row>
    <row r="1471" spans="1:8">
      <c r="A1471" t="s">
        <v>5751</v>
      </c>
      <c r="B1471" t="s">
        <v>5755</v>
      </c>
      <c r="D1471" t="s">
        <v>124</v>
      </c>
      <c r="E1471" t="s">
        <v>121</v>
      </c>
      <c r="F1471" t="s">
        <v>5756</v>
      </c>
      <c r="G1471" t="s">
        <v>5757</v>
      </c>
      <c r="H1471" t="str">
        <f>"02380 639311"</f>
        <v>02380 639311</v>
      </c>
    </row>
    <row r="1472" spans="1:8">
      <c r="A1472" t="s">
        <v>5751</v>
      </c>
      <c r="B1472" t="s">
        <v>5758</v>
      </c>
      <c r="D1472" t="s">
        <v>1893</v>
      </c>
      <c r="E1472" t="s">
        <v>121</v>
      </c>
      <c r="F1472" t="s">
        <v>5759</v>
      </c>
      <c r="G1472" t="s">
        <v>5757</v>
      </c>
      <c r="H1472" t="str">
        <f>"02392 753575"</f>
        <v>02392 753575</v>
      </c>
    </row>
    <row r="1473" spans="1:8">
      <c r="A1473" t="s">
        <v>5751</v>
      </c>
      <c r="B1473" t="s">
        <v>5760</v>
      </c>
      <c r="C1473" t="s">
        <v>865</v>
      </c>
      <c r="D1473" t="s">
        <v>5605</v>
      </c>
      <c r="E1473" t="s">
        <v>121</v>
      </c>
      <c r="F1473" t="s">
        <v>5761</v>
      </c>
      <c r="G1473" t="s">
        <v>5757</v>
      </c>
      <c r="H1473" t="str">
        <f>"02380 717467"</f>
        <v>02380 717467</v>
      </c>
    </row>
    <row r="1474" spans="1:8">
      <c r="A1474" t="s">
        <v>5751</v>
      </c>
      <c r="B1474" t="s">
        <v>5762</v>
      </c>
      <c r="C1474" t="s">
        <v>5763</v>
      </c>
      <c r="D1474" t="s">
        <v>1896</v>
      </c>
      <c r="E1474" t="s">
        <v>121</v>
      </c>
      <c r="F1474" t="s">
        <v>5764</v>
      </c>
      <c r="G1474" t="s">
        <v>5757</v>
      </c>
      <c r="H1474" t="str">
        <f>"023 9277 6569 "</f>
        <v xml:space="preserve">023 9277 6569 </v>
      </c>
    </row>
    <row r="1475" spans="1:8">
      <c r="A1475" t="s">
        <v>5765</v>
      </c>
      <c r="B1475" t="s">
        <v>4686</v>
      </c>
      <c r="D1475" t="s">
        <v>5766</v>
      </c>
      <c r="E1475" t="s">
        <v>736</v>
      </c>
      <c r="F1475" t="s">
        <v>5767</v>
      </c>
      <c r="G1475" t="s">
        <v>5768</v>
      </c>
      <c r="H1475" t="str">
        <f>"01371 875200"</f>
        <v>01371 875200</v>
      </c>
    </row>
    <row r="1476" spans="1:8">
      <c r="A1476" t="s">
        <v>5769</v>
      </c>
      <c r="B1476" t="s">
        <v>5770</v>
      </c>
      <c r="C1476" t="s">
        <v>2906</v>
      </c>
      <c r="D1476" t="s">
        <v>57</v>
      </c>
      <c r="F1476" t="s">
        <v>5771</v>
      </c>
      <c r="G1476" t="s">
        <v>5772</v>
      </c>
      <c r="H1476" t="str">
        <f>"020 7758 8170"</f>
        <v>020 7758 8170</v>
      </c>
    </row>
    <row r="1477" spans="1:8">
      <c r="A1477" t="s">
        <v>5773</v>
      </c>
      <c r="B1477" t="s">
        <v>5774</v>
      </c>
      <c r="D1477" t="s">
        <v>1720</v>
      </c>
      <c r="E1477" t="s">
        <v>132</v>
      </c>
      <c r="F1477" t="s">
        <v>5775</v>
      </c>
      <c r="G1477" t="s">
        <v>5776</v>
      </c>
      <c r="H1477" t="str">
        <f>"01253 852356"</f>
        <v>01253 852356</v>
      </c>
    </row>
    <row r="1478" spans="1:8">
      <c r="A1478" t="s">
        <v>5777</v>
      </c>
      <c r="B1478" t="s">
        <v>5778</v>
      </c>
      <c r="D1478" t="s">
        <v>1139</v>
      </c>
      <c r="E1478" t="s">
        <v>464</v>
      </c>
      <c r="F1478" t="s">
        <v>5779</v>
      </c>
      <c r="G1478" t="s">
        <v>5780</v>
      </c>
      <c r="H1478" t="str">
        <f>"01935 242581"</f>
        <v>01935 242581</v>
      </c>
    </row>
    <row r="1479" spans="1:8">
      <c r="A1479" t="s">
        <v>5777</v>
      </c>
      <c r="B1479" t="s">
        <v>2352</v>
      </c>
      <c r="D1479" t="s">
        <v>1135</v>
      </c>
      <c r="E1479" t="s">
        <v>464</v>
      </c>
      <c r="F1479" t="s">
        <v>1138</v>
      </c>
      <c r="G1479" t="s">
        <v>5780</v>
      </c>
      <c r="H1479" t="str">
        <f>"01823 625800"</f>
        <v>01823 625800</v>
      </c>
    </row>
    <row r="1480" spans="1:8">
      <c r="A1480" t="s">
        <v>5777</v>
      </c>
      <c r="B1480" t="s">
        <v>897</v>
      </c>
      <c r="D1480" t="s">
        <v>1608</v>
      </c>
      <c r="E1480" t="s">
        <v>464</v>
      </c>
      <c r="F1480" t="s">
        <v>5781</v>
      </c>
      <c r="G1480" t="s">
        <v>5780</v>
      </c>
      <c r="H1480" t="str">
        <f>"01823 666622"</f>
        <v>01823 666622</v>
      </c>
    </row>
    <row r="1481" spans="1:8">
      <c r="A1481" t="s">
        <v>5777</v>
      </c>
      <c r="B1481" t="s">
        <v>5782</v>
      </c>
      <c r="D1481" t="s">
        <v>4306</v>
      </c>
      <c r="E1481" t="s">
        <v>164</v>
      </c>
      <c r="F1481" t="s">
        <v>5783</v>
      </c>
      <c r="G1481" t="s">
        <v>5780</v>
      </c>
      <c r="H1481" t="str">
        <f>"01935 813101"</f>
        <v>01935 813101</v>
      </c>
    </row>
    <row r="1482" spans="1:8">
      <c r="A1482" t="s">
        <v>5777</v>
      </c>
      <c r="B1482" t="s">
        <v>5785</v>
      </c>
      <c r="D1482" t="s">
        <v>5784</v>
      </c>
      <c r="E1482" t="s">
        <v>164</v>
      </c>
      <c r="F1482" t="s">
        <v>5786</v>
      </c>
      <c r="G1482" t="s">
        <v>5780</v>
      </c>
      <c r="H1482" t="str">
        <f>"01308 555630"</f>
        <v>01308 555630</v>
      </c>
    </row>
    <row r="1483" spans="1:8">
      <c r="A1483" t="s">
        <v>5777</v>
      </c>
      <c r="B1483" t="s">
        <v>5787</v>
      </c>
      <c r="C1483" t="s">
        <v>4842</v>
      </c>
      <c r="D1483" t="s">
        <v>1572</v>
      </c>
      <c r="E1483" t="s">
        <v>164</v>
      </c>
      <c r="F1483" t="s">
        <v>5788</v>
      </c>
      <c r="G1483" t="s">
        <v>5780</v>
      </c>
      <c r="H1483" t="str">
        <f>"01305262525"</f>
        <v>01305262525</v>
      </c>
    </row>
    <row r="1484" spans="1:8">
      <c r="A1484" t="s">
        <v>5777</v>
      </c>
      <c r="B1484" t="s">
        <v>5789</v>
      </c>
      <c r="D1484" t="s">
        <v>549</v>
      </c>
      <c r="F1484" t="s">
        <v>5028</v>
      </c>
      <c r="G1484" t="s">
        <v>5780</v>
      </c>
      <c r="H1484" t="str">
        <f>"01823625806"</f>
        <v>01823625806</v>
      </c>
    </row>
    <row r="1485" spans="1:8">
      <c r="A1485" t="s">
        <v>5790</v>
      </c>
      <c r="B1485" t="s">
        <v>5791</v>
      </c>
      <c r="C1485" t="s">
        <v>5792</v>
      </c>
      <c r="D1485" t="s">
        <v>3984</v>
      </c>
      <c r="E1485" t="s">
        <v>236</v>
      </c>
      <c r="F1485" t="s">
        <v>5793</v>
      </c>
      <c r="G1485" t="s">
        <v>5794</v>
      </c>
      <c r="H1485" t="str">
        <f>"01889582116"</f>
        <v>01889582116</v>
      </c>
    </row>
    <row r="1486" spans="1:8">
      <c r="A1486" t="s">
        <v>5795</v>
      </c>
      <c r="B1486" t="s">
        <v>5796</v>
      </c>
      <c r="D1486" t="s">
        <v>2592</v>
      </c>
      <c r="E1486" t="s">
        <v>893</v>
      </c>
      <c r="F1486" t="s">
        <v>5797</v>
      </c>
      <c r="G1486" t="s">
        <v>5798</v>
      </c>
      <c r="H1486" t="str">
        <f>"01516668765"</f>
        <v>01516668765</v>
      </c>
    </row>
    <row r="1487" spans="1:8">
      <c r="A1487" t="s">
        <v>5799</v>
      </c>
      <c r="B1487" t="s">
        <v>5800</v>
      </c>
      <c r="C1487" t="s">
        <v>5801</v>
      </c>
      <c r="D1487" t="s">
        <v>5802</v>
      </c>
      <c r="F1487" t="s">
        <v>5803</v>
      </c>
      <c r="G1487" t="s">
        <v>5804</v>
      </c>
      <c r="H1487" t="str">
        <f>"0208 367 0505"</f>
        <v>0208 367 0505</v>
      </c>
    </row>
    <row r="1488" spans="1:8">
      <c r="A1488" t="s">
        <v>5799</v>
      </c>
      <c r="B1488" t="s">
        <v>5805</v>
      </c>
      <c r="D1488" t="s">
        <v>57</v>
      </c>
      <c r="F1488" t="s">
        <v>5806</v>
      </c>
      <c r="G1488" t="s">
        <v>5807</v>
      </c>
      <c r="H1488" t="str">
        <f>"020 7499 0620"</f>
        <v>020 7499 0620</v>
      </c>
    </row>
    <row r="1489" spans="1:8">
      <c r="A1489" t="s">
        <v>5808</v>
      </c>
      <c r="B1489" t="s">
        <v>5809</v>
      </c>
      <c r="D1489" t="s">
        <v>1616</v>
      </c>
      <c r="F1489" t="s">
        <v>5810</v>
      </c>
      <c r="G1489" t="s">
        <v>5811</v>
      </c>
      <c r="H1489" t="str">
        <f>"01983 524741"</f>
        <v>01983 524741</v>
      </c>
    </row>
    <row r="1490" spans="1:8">
      <c r="A1490" t="s">
        <v>5808</v>
      </c>
      <c r="B1490" t="s">
        <v>5812</v>
      </c>
      <c r="D1490" t="s">
        <v>5813</v>
      </c>
      <c r="F1490" t="s">
        <v>5814</v>
      </c>
      <c r="G1490" t="s">
        <v>5811</v>
      </c>
      <c r="H1490" t="str">
        <f>"01983 752492"</f>
        <v>01983 752492</v>
      </c>
    </row>
    <row r="1491" spans="1:8">
      <c r="A1491" t="s">
        <v>5815</v>
      </c>
      <c r="B1491" t="s">
        <v>5816</v>
      </c>
      <c r="C1491" t="s">
        <v>5817</v>
      </c>
      <c r="D1491" t="s">
        <v>5818</v>
      </c>
      <c r="E1491" t="s">
        <v>397</v>
      </c>
      <c r="F1491" t="s">
        <v>5819</v>
      </c>
      <c r="G1491" t="s">
        <v>5820</v>
      </c>
      <c r="H1491" t="str">
        <f>"01525376611"</f>
        <v>01525376611</v>
      </c>
    </row>
    <row r="1492" spans="1:8">
      <c r="A1492" t="s">
        <v>5821</v>
      </c>
      <c r="B1492" t="s">
        <v>5822</v>
      </c>
      <c r="D1492" t="s">
        <v>226</v>
      </c>
      <c r="E1492" t="s">
        <v>227</v>
      </c>
      <c r="F1492" t="s">
        <v>5823</v>
      </c>
      <c r="G1492" t="s">
        <v>5824</v>
      </c>
      <c r="H1492" t="str">
        <f>"01302 341243"</f>
        <v>01302 341243</v>
      </c>
    </row>
    <row r="1493" spans="1:8">
      <c r="A1493" t="s">
        <v>5825</v>
      </c>
      <c r="B1493" t="s">
        <v>5826</v>
      </c>
      <c r="D1493" t="s">
        <v>5827</v>
      </c>
      <c r="F1493" t="s">
        <v>5828</v>
      </c>
      <c r="G1493" t="s">
        <v>5829</v>
      </c>
      <c r="H1493" t="str">
        <f>"01278 788991"</f>
        <v>01278 788991</v>
      </c>
    </row>
    <row r="1494" spans="1:8">
      <c r="A1494" t="s">
        <v>5825</v>
      </c>
      <c r="B1494" t="s">
        <v>5830</v>
      </c>
      <c r="D1494" t="s">
        <v>5831</v>
      </c>
      <c r="F1494" t="s">
        <v>5832</v>
      </c>
      <c r="G1494" t="s">
        <v>5833</v>
      </c>
      <c r="H1494" t="str">
        <f>"01278 788991"</f>
        <v>01278 788991</v>
      </c>
    </row>
    <row r="1495" spans="1:8">
      <c r="A1495" t="s">
        <v>5834</v>
      </c>
      <c r="B1495" t="s">
        <v>5835</v>
      </c>
      <c r="D1495" t="s">
        <v>536</v>
      </c>
      <c r="E1495" t="s">
        <v>171</v>
      </c>
      <c r="F1495" t="s">
        <v>2673</v>
      </c>
      <c r="G1495" t="s">
        <v>5836</v>
      </c>
      <c r="H1495" t="str">
        <f>"01892 515022"</f>
        <v>01892 515022</v>
      </c>
    </row>
    <row r="1496" spans="1:8">
      <c r="A1496" t="s">
        <v>5837</v>
      </c>
      <c r="B1496" t="s">
        <v>5838</v>
      </c>
      <c r="D1496" t="s">
        <v>5839</v>
      </c>
      <c r="E1496" t="s">
        <v>184</v>
      </c>
      <c r="F1496" t="s">
        <v>5840</v>
      </c>
      <c r="G1496" t="s">
        <v>5841</v>
      </c>
      <c r="H1496" t="str">
        <f>"01763 245 234"</f>
        <v>01763 245 234</v>
      </c>
    </row>
    <row r="1497" spans="1:8">
      <c r="A1497" t="s">
        <v>5837</v>
      </c>
      <c r="B1497" t="s">
        <v>2753</v>
      </c>
      <c r="D1497" t="s">
        <v>2059</v>
      </c>
      <c r="F1497" t="s">
        <v>5842</v>
      </c>
      <c r="G1497" t="s">
        <v>5841</v>
      </c>
      <c r="H1497" t="str">
        <f>"01799 514420"</f>
        <v>01799 514420</v>
      </c>
    </row>
    <row r="1498" spans="1:8">
      <c r="A1498" t="s">
        <v>5837</v>
      </c>
      <c r="B1498" t="s">
        <v>5844</v>
      </c>
      <c r="D1498" t="s">
        <v>5843</v>
      </c>
      <c r="F1498" t="s">
        <v>5845</v>
      </c>
      <c r="G1498" t="s">
        <v>5841</v>
      </c>
      <c r="H1498" t="str">
        <f>"01767 313813"</f>
        <v>01767 313813</v>
      </c>
    </row>
    <row r="1499" spans="1:8">
      <c r="A1499" t="s">
        <v>5846</v>
      </c>
      <c r="B1499" t="s">
        <v>5847</v>
      </c>
      <c r="D1499" t="s">
        <v>5848</v>
      </c>
      <c r="E1499" t="s">
        <v>1814</v>
      </c>
      <c r="F1499" t="s">
        <v>5849</v>
      </c>
      <c r="G1499" t="s">
        <v>5850</v>
      </c>
      <c r="H1499" t="str">
        <f>"01670519714"</f>
        <v>01670519714</v>
      </c>
    </row>
    <row r="1500" spans="1:8">
      <c r="A1500" t="s">
        <v>5846</v>
      </c>
      <c r="B1500" t="s">
        <v>5852</v>
      </c>
      <c r="D1500" t="s">
        <v>5851</v>
      </c>
      <c r="E1500" t="s">
        <v>730</v>
      </c>
      <c r="F1500" t="s">
        <v>5853</v>
      </c>
      <c r="G1500" t="s">
        <v>5854</v>
      </c>
      <c r="H1500" t="str">
        <f>"01670 519714"</f>
        <v>01670 519714</v>
      </c>
    </row>
    <row r="1501" spans="1:8">
      <c r="A1501" t="s">
        <v>5855</v>
      </c>
      <c r="B1501" t="s">
        <v>5856</v>
      </c>
      <c r="D1501" t="s">
        <v>2220</v>
      </c>
      <c r="E1501" t="s">
        <v>5857</v>
      </c>
      <c r="F1501" t="s">
        <v>5858</v>
      </c>
      <c r="G1501" t="s">
        <v>5859</v>
      </c>
      <c r="H1501" t="str">
        <f>"01472 358686"</f>
        <v>01472 358686</v>
      </c>
    </row>
    <row r="1502" spans="1:8">
      <c r="A1502" t="s">
        <v>5855</v>
      </c>
      <c r="B1502" t="s">
        <v>5860</v>
      </c>
      <c r="C1502" t="s">
        <v>5861</v>
      </c>
      <c r="D1502" t="s">
        <v>2724</v>
      </c>
      <c r="F1502" t="s">
        <v>5862</v>
      </c>
      <c r="G1502" t="s">
        <v>5863</v>
      </c>
      <c r="H1502" t="str">
        <f>"01507 604773"</f>
        <v>01507 604773</v>
      </c>
    </row>
    <row r="1503" spans="1:8">
      <c r="A1503" t="s">
        <v>5864</v>
      </c>
      <c r="B1503" t="s">
        <v>5865</v>
      </c>
      <c r="C1503" t="s">
        <v>5866</v>
      </c>
      <c r="D1503" t="s">
        <v>57</v>
      </c>
      <c r="F1503" t="s">
        <v>5867</v>
      </c>
      <c r="G1503" t="s">
        <v>5868</v>
      </c>
      <c r="H1503" t="str">
        <f>"020 8346 2236"</f>
        <v>020 8346 2236</v>
      </c>
    </row>
    <row r="1504" spans="1:8">
      <c r="A1504" t="s">
        <v>5869</v>
      </c>
      <c r="B1504" t="s">
        <v>992</v>
      </c>
      <c r="C1504" t="s">
        <v>5870</v>
      </c>
      <c r="D1504" t="s">
        <v>355</v>
      </c>
      <c r="E1504" t="s">
        <v>280</v>
      </c>
      <c r="F1504" t="s">
        <v>5871</v>
      </c>
      <c r="G1504" t="s">
        <v>5872</v>
      </c>
      <c r="H1504" t="str">
        <f>"0113 2432288"</f>
        <v>0113 2432288</v>
      </c>
    </row>
    <row r="1505" spans="1:8">
      <c r="A1505" t="s">
        <v>5873</v>
      </c>
      <c r="B1505" t="s">
        <v>5874</v>
      </c>
      <c r="D1505" t="s">
        <v>2957</v>
      </c>
      <c r="E1505" t="s">
        <v>3199</v>
      </c>
      <c r="F1505" t="s">
        <v>5875</v>
      </c>
      <c r="G1505" t="s">
        <v>5876</v>
      </c>
      <c r="H1505" t="str">
        <f>"01239 612 302"</f>
        <v>01239 612 302</v>
      </c>
    </row>
    <row r="1506" spans="1:8">
      <c r="A1506" t="s">
        <v>5877</v>
      </c>
      <c r="B1506" t="s">
        <v>5878</v>
      </c>
      <c r="D1506" t="s">
        <v>2178</v>
      </c>
      <c r="E1506" t="s">
        <v>340</v>
      </c>
      <c r="F1506" t="s">
        <v>5879</v>
      </c>
      <c r="G1506" t="s">
        <v>5880</v>
      </c>
      <c r="H1506" t="str">
        <f>"01912329547"</f>
        <v>01912329547</v>
      </c>
    </row>
    <row r="1507" spans="1:8">
      <c r="A1507" t="s">
        <v>5877</v>
      </c>
      <c r="B1507" t="s">
        <v>5881</v>
      </c>
      <c r="D1507" t="s">
        <v>339</v>
      </c>
      <c r="E1507" t="s">
        <v>1458</v>
      </c>
      <c r="F1507" t="s">
        <v>5882</v>
      </c>
      <c r="G1507" t="s">
        <v>5880</v>
      </c>
      <c r="H1507" t="str">
        <f>"0191 4275007"</f>
        <v>0191 4275007</v>
      </c>
    </row>
    <row r="1508" spans="1:8">
      <c r="A1508" t="s">
        <v>5883</v>
      </c>
      <c r="B1508" t="s">
        <v>5884</v>
      </c>
      <c r="D1508" t="s">
        <v>5885</v>
      </c>
      <c r="E1508" t="s">
        <v>736</v>
      </c>
      <c r="F1508" t="s">
        <v>5886</v>
      </c>
      <c r="G1508" t="s">
        <v>5887</v>
      </c>
      <c r="H1508" t="str">
        <f>"020 8500 6476"</f>
        <v>020 8500 6476</v>
      </c>
    </row>
    <row r="1509" spans="1:8">
      <c r="A1509" t="s">
        <v>5888</v>
      </c>
      <c r="B1509" t="s">
        <v>5889</v>
      </c>
      <c r="C1509" t="s">
        <v>5890</v>
      </c>
      <c r="D1509" t="s">
        <v>5146</v>
      </c>
      <c r="E1509" t="s">
        <v>736</v>
      </c>
      <c r="F1509" t="s">
        <v>5891</v>
      </c>
      <c r="G1509" t="s">
        <v>5892</v>
      </c>
      <c r="H1509" t="str">
        <f>"0208 477 1399"</f>
        <v>0208 477 1399</v>
      </c>
    </row>
    <row r="1510" spans="1:8">
      <c r="A1510" t="s">
        <v>5893</v>
      </c>
      <c r="B1510" t="s">
        <v>5894</v>
      </c>
      <c r="C1510" t="s">
        <v>5895</v>
      </c>
      <c r="D1510" t="s">
        <v>2075</v>
      </c>
      <c r="E1510" t="s">
        <v>1352</v>
      </c>
      <c r="F1510" t="s">
        <v>5896</v>
      </c>
      <c r="G1510" t="s">
        <v>5897</v>
      </c>
      <c r="H1510" t="str">
        <f>"01642 777680"</f>
        <v>01642 777680</v>
      </c>
    </row>
    <row r="1511" spans="1:8">
      <c r="A1511" t="s">
        <v>5893</v>
      </c>
      <c r="B1511" t="s">
        <v>5898</v>
      </c>
      <c r="C1511" t="s">
        <v>5899</v>
      </c>
      <c r="D1511" t="s">
        <v>256</v>
      </c>
      <c r="F1511" t="s">
        <v>5900</v>
      </c>
      <c r="G1511" t="s">
        <v>5901</v>
      </c>
      <c r="H1511" t="str">
        <f>"01642 777680"</f>
        <v>01642 777680</v>
      </c>
    </row>
    <row r="1512" spans="1:8">
      <c r="A1512" t="s">
        <v>5902</v>
      </c>
      <c r="B1512" t="s">
        <v>5903</v>
      </c>
      <c r="D1512" t="s">
        <v>5904</v>
      </c>
      <c r="E1512" t="s">
        <v>5045</v>
      </c>
      <c r="F1512" t="s">
        <v>5905</v>
      </c>
      <c r="G1512" t="s">
        <v>5906</v>
      </c>
      <c r="H1512" t="str">
        <f>"01474 706168"</f>
        <v>01474 706168</v>
      </c>
    </row>
    <row r="1513" spans="1:8">
      <c r="A1513" t="s">
        <v>5902</v>
      </c>
      <c r="B1513" t="s">
        <v>5907</v>
      </c>
      <c r="C1513" t="s">
        <v>5908</v>
      </c>
      <c r="D1513" t="s">
        <v>5295</v>
      </c>
      <c r="E1513" t="s">
        <v>171</v>
      </c>
      <c r="F1513" t="s">
        <v>5909</v>
      </c>
      <c r="G1513" t="s">
        <v>5910</v>
      </c>
      <c r="H1513" t="str">
        <f>"01233 505555"</f>
        <v>01233 505555</v>
      </c>
    </row>
    <row r="1514" spans="1:8">
      <c r="A1514" t="s">
        <v>5902</v>
      </c>
      <c r="B1514" t="s">
        <v>5911</v>
      </c>
      <c r="D1514" t="s">
        <v>5680</v>
      </c>
      <c r="E1514" t="s">
        <v>171</v>
      </c>
      <c r="F1514" t="s">
        <v>5912</v>
      </c>
      <c r="G1514" t="s">
        <v>5906</v>
      </c>
      <c r="H1514" t="str">
        <f>"01795 436941"</f>
        <v>01795 436941</v>
      </c>
    </row>
    <row r="1515" spans="1:8">
      <c r="A1515" t="s">
        <v>5902</v>
      </c>
      <c r="B1515" t="s">
        <v>5913</v>
      </c>
      <c r="C1515" t="s">
        <v>5914</v>
      </c>
      <c r="D1515" t="s">
        <v>5915</v>
      </c>
      <c r="E1515" t="s">
        <v>5916</v>
      </c>
      <c r="F1515" t="s">
        <v>5917</v>
      </c>
      <c r="G1515" t="s">
        <v>5906</v>
      </c>
      <c r="H1515" t="str">
        <f>"01634728110"</f>
        <v>01634728110</v>
      </c>
    </row>
    <row r="1516" spans="1:8">
      <c r="A1516" t="s">
        <v>5918</v>
      </c>
      <c r="B1516" t="s">
        <v>5919</v>
      </c>
      <c r="D1516" t="s">
        <v>1417</v>
      </c>
      <c r="E1516" t="s">
        <v>736</v>
      </c>
      <c r="F1516" t="s">
        <v>5920</v>
      </c>
      <c r="G1516" t="s">
        <v>5921</v>
      </c>
      <c r="H1516" t="str">
        <f>"01708745183"</f>
        <v>01708745183</v>
      </c>
    </row>
    <row r="1517" spans="1:8">
      <c r="A1517" t="s">
        <v>5918</v>
      </c>
      <c r="B1517" t="s">
        <v>5923</v>
      </c>
      <c r="C1517" t="s">
        <v>5922</v>
      </c>
      <c r="D1517" t="s">
        <v>1417</v>
      </c>
      <c r="E1517" t="s">
        <v>736</v>
      </c>
      <c r="F1517" t="s">
        <v>5924</v>
      </c>
      <c r="G1517" t="s">
        <v>5925</v>
      </c>
      <c r="H1517" t="str">
        <f>"01708 743727"</f>
        <v>01708 743727</v>
      </c>
    </row>
    <row r="1518" spans="1:8">
      <c r="A1518" t="s">
        <v>5918</v>
      </c>
      <c r="B1518" t="s">
        <v>5926</v>
      </c>
      <c r="D1518" t="s">
        <v>1417</v>
      </c>
      <c r="E1518" t="s">
        <v>736</v>
      </c>
      <c r="F1518" t="s">
        <v>5927</v>
      </c>
      <c r="G1518" t="s">
        <v>5928</v>
      </c>
      <c r="H1518" t="str">
        <f>"01708 333711"</f>
        <v>01708 333711</v>
      </c>
    </row>
    <row r="1519" spans="1:8">
      <c r="A1519" t="s">
        <v>5929</v>
      </c>
      <c r="B1519" t="s">
        <v>5930</v>
      </c>
      <c r="D1519" t="s">
        <v>2005</v>
      </c>
      <c r="E1519" t="s">
        <v>2006</v>
      </c>
      <c r="F1519" t="s">
        <v>5931</v>
      </c>
      <c r="G1519" t="s">
        <v>5932</v>
      </c>
      <c r="H1519" t="str">
        <f>"020 8427 9080"</f>
        <v>020 8427 9080</v>
      </c>
    </row>
    <row r="1520" spans="1:8">
      <c r="A1520" t="s">
        <v>5933</v>
      </c>
      <c r="B1520" t="s">
        <v>5934</v>
      </c>
      <c r="D1520" t="s">
        <v>2794</v>
      </c>
      <c r="E1520" t="s">
        <v>132</v>
      </c>
      <c r="F1520" t="s">
        <v>5935</v>
      </c>
      <c r="G1520" t="s">
        <v>5936</v>
      </c>
      <c r="H1520" t="str">
        <f>"01200 422152"</f>
        <v>01200 422152</v>
      </c>
    </row>
    <row r="1521" spans="1:8">
      <c r="A1521" t="s">
        <v>5937</v>
      </c>
      <c r="B1521" t="s">
        <v>5938</v>
      </c>
      <c r="D1521" t="s">
        <v>2245</v>
      </c>
      <c r="E1521" t="s">
        <v>164</v>
      </c>
      <c r="F1521" t="s">
        <v>5939</v>
      </c>
      <c r="G1521" t="s">
        <v>5940</v>
      </c>
      <c r="H1521" t="str">
        <f>"01202 804560"</f>
        <v>01202 804560</v>
      </c>
    </row>
    <row r="1522" spans="1:8">
      <c r="A1522" t="s">
        <v>5941</v>
      </c>
      <c r="B1522" t="s">
        <v>5942</v>
      </c>
      <c r="D1522" t="s">
        <v>5943</v>
      </c>
      <c r="E1522" t="s">
        <v>736</v>
      </c>
      <c r="F1522" t="s">
        <v>5944</v>
      </c>
      <c r="G1522" t="s">
        <v>5945</v>
      </c>
      <c r="H1522" t="str">
        <f>"01708 446781"</f>
        <v>01708 446781</v>
      </c>
    </row>
    <row r="1523" spans="1:8">
      <c r="A1523" t="s">
        <v>5946</v>
      </c>
      <c r="B1523" t="s">
        <v>5947</v>
      </c>
      <c r="D1523" t="s">
        <v>5948</v>
      </c>
      <c r="E1523" t="s">
        <v>67</v>
      </c>
      <c r="F1523" t="s">
        <v>5949</v>
      </c>
      <c r="G1523" t="s">
        <v>5950</v>
      </c>
      <c r="H1523" t="str">
        <f>"01229 585555"</f>
        <v>01229 585555</v>
      </c>
    </row>
    <row r="1524" spans="1:8">
      <c r="A1524" t="s">
        <v>5946</v>
      </c>
      <c r="B1524" t="s">
        <v>5952</v>
      </c>
      <c r="D1524" t="s">
        <v>5951</v>
      </c>
      <c r="E1524" t="s">
        <v>67</v>
      </c>
      <c r="F1524" t="s">
        <v>5953</v>
      </c>
      <c r="G1524" t="s">
        <v>5950</v>
      </c>
      <c r="H1524" t="str">
        <f>"01229 432126"</f>
        <v>01229 432126</v>
      </c>
    </row>
    <row r="1525" spans="1:8">
      <c r="A1525" t="s">
        <v>5954</v>
      </c>
      <c r="B1525" t="s">
        <v>5955</v>
      </c>
      <c r="D1525" t="s">
        <v>429</v>
      </c>
      <c r="E1525" t="s">
        <v>280</v>
      </c>
      <c r="F1525" t="s">
        <v>5956</v>
      </c>
      <c r="G1525" t="s">
        <v>5957</v>
      </c>
      <c r="H1525" t="str">
        <f>"0113 2363936"</f>
        <v>0113 2363936</v>
      </c>
    </row>
    <row r="1526" spans="1:8">
      <c r="A1526" t="s">
        <v>5958</v>
      </c>
      <c r="B1526" t="s">
        <v>5959</v>
      </c>
      <c r="C1526" t="s">
        <v>5960</v>
      </c>
      <c r="D1526" t="s">
        <v>1117</v>
      </c>
      <c r="F1526" t="s">
        <v>5961</v>
      </c>
      <c r="G1526" t="s">
        <v>5962</v>
      </c>
      <c r="H1526" t="str">
        <f>"0161 9305219"</f>
        <v>0161 9305219</v>
      </c>
    </row>
    <row r="1527" spans="1:8">
      <c r="A1527" t="s">
        <v>5958</v>
      </c>
      <c r="B1527" t="s">
        <v>5963</v>
      </c>
      <c r="C1527" t="s">
        <v>5964</v>
      </c>
      <c r="D1527" t="s">
        <v>5965</v>
      </c>
      <c r="F1527" t="s">
        <v>5966</v>
      </c>
      <c r="G1527" t="s">
        <v>5967</v>
      </c>
      <c r="H1527" t="str">
        <f>"01619305286"</f>
        <v>01619305286</v>
      </c>
    </row>
    <row r="1528" spans="1:8">
      <c r="A1528" t="s">
        <v>5968</v>
      </c>
      <c r="B1528" t="s">
        <v>5969</v>
      </c>
      <c r="D1528" t="s">
        <v>57</v>
      </c>
      <c r="F1528" t="s">
        <v>5970</v>
      </c>
      <c r="G1528" t="s">
        <v>5971</v>
      </c>
      <c r="H1528" t="str">
        <f>"020 7368 3325"</f>
        <v>020 7368 3325</v>
      </c>
    </row>
    <row r="1529" spans="1:8">
      <c r="A1529" t="s">
        <v>5972</v>
      </c>
      <c r="B1529" t="s">
        <v>5894</v>
      </c>
      <c r="C1529" t="s">
        <v>5973</v>
      </c>
      <c r="D1529" t="s">
        <v>2178</v>
      </c>
      <c r="E1529" t="s">
        <v>340</v>
      </c>
      <c r="F1529" t="s">
        <v>5974</v>
      </c>
      <c r="G1529" t="s">
        <v>5975</v>
      </c>
      <c r="H1529" t="str">
        <f>"0191 2606546"</f>
        <v>0191 2606546</v>
      </c>
    </row>
    <row r="1530" spans="1:8">
      <c r="A1530" t="s">
        <v>5976</v>
      </c>
      <c r="B1530" t="s">
        <v>5977</v>
      </c>
      <c r="D1530" t="s">
        <v>5965</v>
      </c>
      <c r="E1530" t="s">
        <v>236</v>
      </c>
      <c r="F1530" t="s">
        <v>5978</v>
      </c>
      <c r="G1530" t="s">
        <v>5979</v>
      </c>
      <c r="H1530" t="str">
        <f>"01782 205 000"</f>
        <v>01782 205 000</v>
      </c>
    </row>
    <row r="1531" spans="1:8">
      <c r="A1531" t="s">
        <v>5980</v>
      </c>
      <c r="B1531" t="s">
        <v>5981</v>
      </c>
      <c r="C1531" t="s">
        <v>5982</v>
      </c>
      <c r="D1531" t="s">
        <v>536</v>
      </c>
      <c r="E1531" t="s">
        <v>171</v>
      </c>
      <c r="F1531" t="s">
        <v>5983</v>
      </c>
      <c r="G1531" t="s">
        <v>5984</v>
      </c>
      <c r="H1531" t="str">
        <f>"01892 824577"</f>
        <v>01892 824577</v>
      </c>
    </row>
    <row r="1532" spans="1:8">
      <c r="A1532" t="s">
        <v>5980</v>
      </c>
      <c r="B1532" t="s">
        <v>5986</v>
      </c>
      <c r="C1532" t="s">
        <v>5985</v>
      </c>
      <c r="D1532" t="s">
        <v>5987</v>
      </c>
      <c r="E1532" t="s">
        <v>171</v>
      </c>
      <c r="F1532" t="s">
        <v>5988</v>
      </c>
      <c r="G1532" t="s">
        <v>5984</v>
      </c>
      <c r="H1532" t="str">
        <f>"01634 540046"</f>
        <v>01634 540046</v>
      </c>
    </row>
    <row r="1533" spans="1:8">
      <c r="A1533" t="s">
        <v>5980</v>
      </c>
      <c r="B1533" t="s">
        <v>5989</v>
      </c>
      <c r="C1533" t="s">
        <v>5985</v>
      </c>
      <c r="D1533" t="s">
        <v>5987</v>
      </c>
      <c r="E1533" t="s">
        <v>171</v>
      </c>
      <c r="F1533" t="s">
        <v>5990</v>
      </c>
      <c r="G1533" t="s">
        <v>5984</v>
      </c>
      <c r="H1533" t="str">
        <f>"01634540046"</f>
        <v>01634540046</v>
      </c>
    </row>
    <row r="1534" spans="1:8">
      <c r="A1534" t="s">
        <v>5980</v>
      </c>
      <c r="B1534" t="s">
        <v>5991</v>
      </c>
      <c r="D1534" t="s">
        <v>2504</v>
      </c>
      <c r="F1534" t="s">
        <v>5992</v>
      </c>
      <c r="G1534" t="s">
        <v>5993</v>
      </c>
      <c r="H1534" t="str">
        <f>"01323 679172"</f>
        <v>01323 679172</v>
      </c>
    </row>
    <row r="1535" spans="1:8">
      <c r="A1535" t="s">
        <v>5980</v>
      </c>
      <c r="B1535" t="s">
        <v>5995</v>
      </c>
      <c r="D1535" t="s">
        <v>5994</v>
      </c>
      <c r="F1535" t="s">
        <v>5996</v>
      </c>
      <c r="G1535" t="s">
        <v>5997</v>
      </c>
      <c r="H1535" t="str">
        <f>"01892 824577"</f>
        <v>01892 824577</v>
      </c>
    </row>
    <row r="1536" spans="1:8">
      <c r="A1536" t="s">
        <v>5980</v>
      </c>
      <c r="B1536" t="s">
        <v>5998</v>
      </c>
      <c r="D1536" t="s">
        <v>5987</v>
      </c>
      <c r="F1536" t="s">
        <v>5999</v>
      </c>
      <c r="G1536" t="s">
        <v>5993</v>
      </c>
      <c r="H1536" t="str">
        <f>"01634 814911"</f>
        <v>01634 814911</v>
      </c>
    </row>
    <row r="1537" spans="1:8">
      <c r="A1537" t="s">
        <v>6000</v>
      </c>
      <c r="B1537" t="s">
        <v>6001</v>
      </c>
      <c r="D1537" t="s">
        <v>3803</v>
      </c>
      <c r="E1537" t="s">
        <v>1487</v>
      </c>
      <c r="F1537" t="s">
        <v>6002</v>
      </c>
      <c r="G1537" t="s">
        <v>6003</v>
      </c>
      <c r="H1537" t="str">
        <f>"01642673701"</f>
        <v>01642673701</v>
      </c>
    </row>
    <row r="1538" spans="1:8">
      <c r="A1538" t="s">
        <v>6000</v>
      </c>
      <c r="B1538" t="s">
        <v>6004</v>
      </c>
      <c r="D1538" t="s">
        <v>247</v>
      </c>
      <c r="E1538" t="s">
        <v>1352</v>
      </c>
      <c r="F1538" t="s">
        <v>6005</v>
      </c>
      <c r="G1538" t="s">
        <v>6003</v>
      </c>
      <c r="H1538" t="str">
        <f>"01642 673701"</f>
        <v>01642 673701</v>
      </c>
    </row>
    <row r="1539" spans="1:8">
      <c r="A1539" t="s">
        <v>6000</v>
      </c>
      <c r="B1539" t="s">
        <v>6006</v>
      </c>
      <c r="D1539" t="s">
        <v>3523</v>
      </c>
      <c r="E1539" t="s">
        <v>1487</v>
      </c>
      <c r="F1539" t="s">
        <v>6007</v>
      </c>
      <c r="G1539" t="s">
        <v>6003</v>
      </c>
      <c r="H1539" t="str">
        <f>"01325 468573"</f>
        <v>01325 468573</v>
      </c>
    </row>
    <row r="1540" spans="1:8">
      <c r="A1540" t="s">
        <v>6008</v>
      </c>
      <c r="B1540" t="s">
        <v>6009</v>
      </c>
      <c r="C1540" t="s">
        <v>6010</v>
      </c>
      <c r="D1540" t="s">
        <v>5498</v>
      </c>
      <c r="E1540" t="s">
        <v>132</v>
      </c>
      <c r="F1540" t="s">
        <v>6011</v>
      </c>
      <c r="G1540" t="s">
        <v>6012</v>
      </c>
      <c r="H1540" t="str">
        <f>"01617947799"</f>
        <v>01617947799</v>
      </c>
    </row>
    <row r="1541" spans="1:8">
      <c r="A1541" t="s">
        <v>6013</v>
      </c>
      <c r="B1541" t="s">
        <v>6014</v>
      </c>
      <c r="D1541" t="s">
        <v>3698</v>
      </c>
      <c r="E1541" t="s">
        <v>67</v>
      </c>
      <c r="F1541" t="s">
        <v>6015</v>
      </c>
      <c r="G1541" t="s">
        <v>6016</v>
      </c>
      <c r="H1541" t="str">
        <f>"01539721945"</f>
        <v>01539721945</v>
      </c>
    </row>
    <row r="1542" spans="1:8">
      <c r="A1542" t="s">
        <v>6013</v>
      </c>
      <c r="B1542" t="s">
        <v>6018</v>
      </c>
      <c r="C1542" t="s">
        <v>6019</v>
      </c>
      <c r="D1542" t="s">
        <v>6017</v>
      </c>
      <c r="E1542" t="s">
        <v>67</v>
      </c>
      <c r="F1542" t="s">
        <v>6020</v>
      </c>
      <c r="G1542" t="s">
        <v>6021</v>
      </c>
      <c r="H1542" t="str">
        <f>"01539446585"</f>
        <v>01539446585</v>
      </c>
    </row>
    <row r="1543" spans="1:8">
      <c r="A1543" t="s">
        <v>6013</v>
      </c>
      <c r="B1543" t="s">
        <v>6022</v>
      </c>
      <c r="C1543" t="s">
        <v>2022</v>
      </c>
      <c r="D1543" t="s">
        <v>135</v>
      </c>
      <c r="E1543" t="s">
        <v>132</v>
      </c>
      <c r="F1543" t="s">
        <v>6023</v>
      </c>
      <c r="G1543" t="s">
        <v>6021</v>
      </c>
      <c r="H1543" t="str">
        <f>"015242 71222"</f>
        <v>015242 71222</v>
      </c>
    </row>
    <row r="1544" spans="1:8">
      <c r="A1544" t="s">
        <v>6024</v>
      </c>
      <c r="B1544" t="s">
        <v>6025</v>
      </c>
      <c r="D1544" t="s">
        <v>3040</v>
      </c>
      <c r="E1544" t="s">
        <v>340</v>
      </c>
      <c r="F1544" t="s">
        <v>6026</v>
      </c>
      <c r="G1544" t="s">
        <v>6027</v>
      </c>
      <c r="H1544" t="str">
        <f>"0191 296 1777"</f>
        <v>0191 296 1777</v>
      </c>
    </row>
    <row r="1545" spans="1:8">
      <c r="A1545" t="s">
        <v>6028</v>
      </c>
      <c r="B1545" t="s">
        <v>6029</v>
      </c>
      <c r="C1545" t="s">
        <v>6030</v>
      </c>
      <c r="D1545" t="s">
        <v>14</v>
      </c>
      <c r="E1545" t="s">
        <v>16</v>
      </c>
      <c r="F1545" t="s">
        <v>6031</v>
      </c>
      <c r="G1545" t="s">
        <v>6032</v>
      </c>
      <c r="H1545" t="str">
        <f>"01214768481"</f>
        <v>01214768481</v>
      </c>
    </row>
    <row r="1546" spans="1:8">
      <c r="A1546" t="s">
        <v>6028</v>
      </c>
      <c r="B1546" t="s">
        <v>6034</v>
      </c>
      <c r="C1546" t="s">
        <v>6033</v>
      </c>
      <c r="D1546" t="s">
        <v>14</v>
      </c>
      <c r="E1546" t="s">
        <v>16</v>
      </c>
      <c r="F1546" t="s">
        <v>6035</v>
      </c>
      <c r="G1546" t="s">
        <v>6036</v>
      </c>
      <c r="H1546" t="str">
        <f>"01214413322"</f>
        <v>01214413322</v>
      </c>
    </row>
    <row r="1547" spans="1:8">
      <c r="A1547" t="s">
        <v>6028</v>
      </c>
      <c r="B1547" t="s">
        <v>6038</v>
      </c>
      <c r="C1547" t="s">
        <v>6037</v>
      </c>
      <c r="D1547" t="s">
        <v>14</v>
      </c>
      <c r="E1547" t="s">
        <v>16</v>
      </c>
      <c r="F1547" t="s">
        <v>6039</v>
      </c>
      <c r="G1547" t="s">
        <v>6040</v>
      </c>
      <c r="H1547" t="str">
        <f>"0121 4538165"</f>
        <v>0121 4538165</v>
      </c>
    </row>
    <row r="1548" spans="1:8">
      <c r="A1548" t="s">
        <v>6028</v>
      </c>
      <c r="B1548" t="s">
        <v>6042</v>
      </c>
      <c r="C1548" t="s">
        <v>6041</v>
      </c>
      <c r="D1548" t="s">
        <v>14</v>
      </c>
      <c r="E1548" t="s">
        <v>16</v>
      </c>
      <c r="F1548" t="s">
        <v>6043</v>
      </c>
      <c r="G1548" t="s">
        <v>6044</v>
      </c>
      <c r="H1548" t="str">
        <f>"01214599714"</f>
        <v>01214599714</v>
      </c>
    </row>
    <row r="1549" spans="1:8">
      <c r="A1549" t="s">
        <v>6028</v>
      </c>
      <c r="B1549" t="s">
        <v>6045</v>
      </c>
      <c r="C1549" t="s">
        <v>4575</v>
      </c>
      <c r="D1549" t="s">
        <v>14</v>
      </c>
      <c r="E1549" t="s">
        <v>16</v>
      </c>
      <c r="F1549" t="s">
        <v>6046</v>
      </c>
      <c r="G1549" t="s">
        <v>6047</v>
      </c>
      <c r="H1549" t="str">
        <f>"0121 2014083"</f>
        <v>0121 2014083</v>
      </c>
    </row>
    <row r="1550" spans="1:8">
      <c r="A1550" t="s">
        <v>6048</v>
      </c>
      <c r="B1550" t="s">
        <v>6049</v>
      </c>
      <c r="C1550" t="s">
        <v>2993</v>
      </c>
      <c r="D1550" t="s">
        <v>2995</v>
      </c>
      <c r="F1550" t="s">
        <v>6050</v>
      </c>
      <c r="G1550" t="s">
        <v>6051</v>
      </c>
      <c r="H1550" t="str">
        <f>"01792 898897"</f>
        <v>01792 898897</v>
      </c>
    </row>
    <row r="1551" spans="1:8">
      <c r="A1551" t="s">
        <v>6052</v>
      </c>
      <c r="B1551" t="s">
        <v>6053</v>
      </c>
      <c r="D1551" t="s">
        <v>1443</v>
      </c>
      <c r="E1551" t="s">
        <v>736</v>
      </c>
      <c r="F1551" t="s">
        <v>6054</v>
      </c>
      <c r="G1551" t="s">
        <v>6055</v>
      </c>
      <c r="H1551" t="str">
        <f>"01245 493959"</f>
        <v>01245 493959</v>
      </c>
    </row>
    <row r="1552" spans="1:8">
      <c r="A1552" t="s">
        <v>6052</v>
      </c>
      <c r="B1552" t="s">
        <v>6056</v>
      </c>
      <c r="C1552" t="s">
        <v>6057</v>
      </c>
      <c r="D1552" t="s">
        <v>6058</v>
      </c>
      <c r="E1552" t="s">
        <v>736</v>
      </c>
      <c r="F1552" t="s">
        <v>6059</v>
      </c>
      <c r="G1552" t="s">
        <v>6060</v>
      </c>
      <c r="H1552" t="str">
        <f>"01702 298 282"</f>
        <v>01702 298 282</v>
      </c>
    </row>
    <row r="1553" spans="1:8">
      <c r="A1553" t="s">
        <v>6052</v>
      </c>
      <c r="B1553" t="s">
        <v>6061</v>
      </c>
      <c r="D1553" t="s">
        <v>5265</v>
      </c>
      <c r="F1553" t="s">
        <v>6062</v>
      </c>
      <c r="G1553" t="s">
        <v>6063</v>
      </c>
      <c r="H1553" t="str">
        <f>"01376513491"</f>
        <v>01376513491</v>
      </c>
    </row>
    <row r="1554" spans="1:8">
      <c r="A1554" t="s">
        <v>6052</v>
      </c>
      <c r="B1554" t="s">
        <v>6065</v>
      </c>
      <c r="D1554" t="s">
        <v>6064</v>
      </c>
      <c r="F1554" t="s">
        <v>6066</v>
      </c>
      <c r="G1554" t="s">
        <v>6067</v>
      </c>
      <c r="H1554" t="str">
        <f>"01702 582211"</f>
        <v>01702 582211</v>
      </c>
    </row>
    <row r="1555" spans="1:8">
      <c r="A1555" t="s">
        <v>6068</v>
      </c>
      <c r="B1555" t="s">
        <v>6069</v>
      </c>
      <c r="C1555" t="s">
        <v>5620</v>
      </c>
      <c r="D1555" t="s">
        <v>57</v>
      </c>
      <c r="F1555" t="s">
        <v>6070</v>
      </c>
      <c r="G1555" t="s">
        <v>6071</v>
      </c>
      <c r="H1555" t="str">
        <f>"0208 098 2000"</f>
        <v>0208 098 2000</v>
      </c>
    </row>
    <row r="1556" spans="1:8">
      <c r="A1556" t="s">
        <v>6072</v>
      </c>
      <c r="B1556" t="s">
        <v>6073</v>
      </c>
      <c r="D1556" t="s">
        <v>158</v>
      </c>
      <c r="E1556" t="s">
        <v>53</v>
      </c>
      <c r="F1556" t="s">
        <v>6074</v>
      </c>
      <c r="G1556" t="s">
        <v>6075</v>
      </c>
      <c r="H1556" t="str">
        <f>"01242 224433"</f>
        <v>01242 224433</v>
      </c>
    </row>
    <row r="1557" spans="1:8">
      <c r="A1557" t="s">
        <v>6072</v>
      </c>
      <c r="B1557" t="s">
        <v>6076</v>
      </c>
      <c r="D1557" t="s">
        <v>57</v>
      </c>
      <c r="F1557" t="s">
        <v>6077</v>
      </c>
      <c r="G1557" t="s">
        <v>6075</v>
      </c>
      <c r="H1557" t="str">
        <f>"0207 3877874"</f>
        <v>0207 3877874</v>
      </c>
    </row>
    <row r="1558" spans="1:8">
      <c r="A1558" t="s">
        <v>6078</v>
      </c>
      <c r="B1558" t="s">
        <v>6079</v>
      </c>
      <c r="C1558" t="s">
        <v>6080</v>
      </c>
      <c r="D1558" t="s">
        <v>6081</v>
      </c>
      <c r="E1558" t="s">
        <v>6082</v>
      </c>
      <c r="F1558" t="s">
        <v>6083</v>
      </c>
      <c r="G1558" t="s">
        <v>6084</v>
      </c>
      <c r="H1558" t="str">
        <f>"01745 343500"</f>
        <v>01745 343500</v>
      </c>
    </row>
    <row r="1559" spans="1:8">
      <c r="A1559" t="s">
        <v>6078</v>
      </c>
      <c r="B1559" t="s">
        <v>6085</v>
      </c>
      <c r="D1559" t="s">
        <v>6086</v>
      </c>
      <c r="E1559" t="s">
        <v>3932</v>
      </c>
      <c r="F1559" t="s">
        <v>6087</v>
      </c>
      <c r="G1559" t="s">
        <v>6088</v>
      </c>
      <c r="H1559" t="str">
        <f>"01352 714822"</f>
        <v>01352 714822</v>
      </c>
    </row>
    <row r="1560" spans="1:8">
      <c r="A1560" t="s">
        <v>6078</v>
      </c>
      <c r="B1560" t="s">
        <v>6089</v>
      </c>
      <c r="D1560" t="s">
        <v>3915</v>
      </c>
      <c r="E1560" t="s">
        <v>3916</v>
      </c>
      <c r="F1560" t="s">
        <v>6090</v>
      </c>
      <c r="G1560" t="s">
        <v>6088</v>
      </c>
      <c r="H1560" t="str">
        <f>"01745 812422"</f>
        <v>01745 812422</v>
      </c>
    </row>
    <row r="1561" spans="1:8">
      <c r="A1561" t="s">
        <v>6078</v>
      </c>
      <c r="B1561" t="s">
        <v>6091</v>
      </c>
      <c r="D1561" t="s">
        <v>3928</v>
      </c>
      <c r="E1561" t="s">
        <v>3916</v>
      </c>
      <c r="F1561" t="s">
        <v>6092</v>
      </c>
      <c r="G1561" t="s">
        <v>6088</v>
      </c>
      <c r="H1561" t="str">
        <f>"01824 702102"</f>
        <v>01824 702102</v>
      </c>
    </row>
    <row r="1562" spans="1:8">
      <c r="A1562" t="s">
        <v>6078</v>
      </c>
      <c r="B1562" t="s">
        <v>6093</v>
      </c>
      <c r="D1562" t="s">
        <v>6094</v>
      </c>
      <c r="E1562" t="s">
        <v>4424</v>
      </c>
      <c r="F1562" t="s">
        <v>6095</v>
      </c>
      <c r="G1562" t="s">
        <v>6088</v>
      </c>
      <c r="H1562" t="str">
        <f>"01745 357333"</f>
        <v>01745 357333</v>
      </c>
    </row>
    <row r="1563" spans="1:8">
      <c r="A1563" t="s">
        <v>6078</v>
      </c>
      <c r="B1563" t="s">
        <v>6096</v>
      </c>
      <c r="D1563" t="s">
        <v>3930</v>
      </c>
      <c r="E1563" t="s">
        <v>3932</v>
      </c>
      <c r="F1563" t="s">
        <v>6097</v>
      </c>
      <c r="G1563" t="s">
        <v>6088</v>
      </c>
      <c r="H1563" t="str">
        <f>"01352 758533"</f>
        <v>01352 758533</v>
      </c>
    </row>
    <row r="1564" spans="1:8">
      <c r="A1564" t="s">
        <v>6098</v>
      </c>
      <c r="B1564" t="s">
        <v>6099</v>
      </c>
      <c r="C1564" t="s">
        <v>6100</v>
      </c>
      <c r="D1564" t="s">
        <v>1117</v>
      </c>
      <c r="F1564" t="s">
        <v>6101</v>
      </c>
      <c r="G1564" t="s">
        <v>6102</v>
      </c>
      <c r="H1564" t="str">
        <f>"01614432828"</f>
        <v>01614432828</v>
      </c>
    </row>
    <row r="1565" spans="1:8">
      <c r="A1565" t="s">
        <v>6103</v>
      </c>
      <c r="B1565" t="s">
        <v>6104</v>
      </c>
      <c r="D1565" t="s">
        <v>6105</v>
      </c>
      <c r="E1565" t="s">
        <v>736</v>
      </c>
      <c r="F1565" t="s">
        <v>6106</v>
      </c>
      <c r="G1565" t="s">
        <v>6107</v>
      </c>
      <c r="H1565" t="str">
        <f>"01702338338"</f>
        <v>01702338338</v>
      </c>
    </row>
    <row r="1566" spans="1:8">
      <c r="A1566" t="s">
        <v>6103</v>
      </c>
      <c r="B1566" t="s">
        <v>6108</v>
      </c>
      <c r="C1566" t="s">
        <v>6109</v>
      </c>
      <c r="D1566" t="s">
        <v>1977</v>
      </c>
      <c r="E1566" t="s">
        <v>736</v>
      </c>
      <c r="F1566" t="s">
        <v>6110</v>
      </c>
      <c r="G1566" t="s">
        <v>6107</v>
      </c>
      <c r="H1566" t="str">
        <f>"01277 500123"</f>
        <v>01277 500123</v>
      </c>
    </row>
    <row r="1567" spans="1:8">
      <c r="A1567" t="s">
        <v>6103</v>
      </c>
      <c r="B1567" t="s">
        <v>6111</v>
      </c>
      <c r="D1567" t="s">
        <v>57</v>
      </c>
      <c r="F1567" t="s">
        <v>6112</v>
      </c>
      <c r="G1567" t="s">
        <v>6107</v>
      </c>
      <c r="H1567" t="str">
        <f>"0208 049 5888"</f>
        <v>0208 049 5888</v>
      </c>
    </row>
    <row r="1568" spans="1:8">
      <c r="A1568" t="s">
        <v>6103</v>
      </c>
      <c r="B1568" t="s">
        <v>6113</v>
      </c>
      <c r="D1568" t="s">
        <v>1971</v>
      </c>
      <c r="E1568" t="s">
        <v>736</v>
      </c>
      <c r="F1568" t="s">
        <v>6114</v>
      </c>
      <c r="G1568" t="s">
        <v>6107</v>
      </c>
      <c r="H1568" t="str">
        <f>"01702 338338"</f>
        <v>01702 338338</v>
      </c>
    </row>
    <row r="1569" spans="1:8">
      <c r="A1569" t="s">
        <v>6103</v>
      </c>
      <c r="B1569" t="s">
        <v>6115</v>
      </c>
      <c r="D1569" t="s">
        <v>57</v>
      </c>
      <c r="F1569" t="s">
        <v>6116</v>
      </c>
      <c r="G1569" t="s">
        <v>6117</v>
      </c>
      <c r="H1569" t="str">
        <f>"020 8049 5888"</f>
        <v>020 8049 5888</v>
      </c>
    </row>
    <row r="1570" spans="1:8">
      <c r="A1570" t="s">
        <v>6103</v>
      </c>
      <c r="B1570" t="s">
        <v>6118</v>
      </c>
      <c r="D1570" t="s">
        <v>3573</v>
      </c>
      <c r="F1570" t="s">
        <v>6119</v>
      </c>
      <c r="G1570" t="s">
        <v>6117</v>
      </c>
      <c r="H1570" t="str">
        <f>"01736808939"</f>
        <v>01736808939</v>
      </c>
    </row>
    <row r="1571" spans="1:8">
      <c r="A1571" t="s">
        <v>6120</v>
      </c>
      <c r="B1571" t="s">
        <v>6121</v>
      </c>
      <c r="D1571" t="s">
        <v>3520</v>
      </c>
      <c r="F1571" t="s">
        <v>6122</v>
      </c>
      <c r="G1571" t="s">
        <v>6123</v>
      </c>
      <c r="H1571" t="str">
        <f>"01765 601717"</f>
        <v>01765 601717</v>
      </c>
    </row>
    <row r="1572" spans="1:8">
      <c r="A1572" t="s">
        <v>6120</v>
      </c>
      <c r="B1572" t="s">
        <v>6124</v>
      </c>
      <c r="C1572" t="s">
        <v>6125</v>
      </c>
      <c r="D1572" t="s">
        <v>3533</v>
      </c>
      <c r="F1572" t="s">
        <v>6126</v>
      </c>
      <c r="G1572" t="s">
        <v>6127</v>
      </c>
      <c r="H1572" t="str">
        <f>"01845 522324"</f>
        <v>01845 522324</v>
      </c>
    </row>
    <row r="1573" spans="1:8">
      <c r="A1573" t="s">
        <v>6120</v>
      </c>
      <c r="B1573" t="s">
        <v>6129</v>
      </c>
      <c r="D1573" t="s">
        <v>6128</v>
      </c>
      <c r="F1573" t="s">
        <v>6130</v>
      </c>
      <c r="G1573" t="s">
        <v>6131</v>
      </c>
      <c r="H1573" t="str">
        <f>"01677 422422"</f>
        <v>01677 422422</v>
      </c>
    </row>
    <row r="1574" spans="1:8">
      <c r="A1574" t="s">
        <v>6132</v>
      </c>
      <c r="B1574" t="s">
        <v>6133</v>
      </c>
      <c r="D1574" t="s">
        <v>57</v>
      </c>
      <c r="F1574" t="s">
        <v>6134</v>
      </c>
      <c r="G1574" t="s">
        <v>6135</v>
      </c>
      <c r="H1574" t="str">
        <f>"020 7814 1203"</f>
        <v>020 7814 1203</v>
      </c>
    </row>
    <row r="1575" spans="1:8">
      <c r="A1575" t="s">
        <v>6136</v>
      </c>
      <c r="B1575" t="s">
        <v>6137</v>
      </c>
      <c r="C1575" t="s">
        <v>6138</v>
      </c>
      <c r="D1575" t="s">
        <v>892</v>
      </c>
      <c r="E1575" t="s">
        <v>893</v>
      </c>
      <c r="F1575" t="s">
        <v>6139</v>
      </c>
      <c r="G1575" t="s">
        <v>6140</v>
      </c>
      <c r="H1575" t="str">
        <f>"0151 2273391"</f>
        <v>0151 2273391</v>
      </c>
    </row>
    <row r="1576" spans="1:8">
      <c r="A1576" t="s">
        <v>6136</v>
      </c>
      <c r="B1576" t="s">
        <v>6141</v>
      </c>
      <c r="D1576" t="s">
        <v>440</v>
      </c>
      <c r="E1576" t="s">
        <v>315</v>
      </c>
      <c r="F1576" t="s">
        <v>6142</v>
      </c>
      <c r="G1576" t="s">
        <v>6143</v>
      </c>
      <c r="H1576" t="str">
        <f>"01244 311633"</f>
        <v>01244 311633</v>
      </c>
    </row>
    <row r="1577" spans="1:8">
      <c r="A1577" t="s">
        <v>6136</v>
      </c>
      <c r="B1577" t="s">
        <v>6144</v>
      </c>
      <c r="D1577" t="s">
        <v>440</v>
      </c>
      <c r="E1577" t="s">
        <v>315</v>
      </c>
      <c r="F1577" t="s">
        <v>6145</v>
      </c>
      <c r="G1577" t="s">
        <v>6146</v>
      </c>
      <c r="H1577" t="str">
        <f>"01244 313301"</f>
        <v>01244 313301</v>
      </c>
    </row>
    <row r="1578" spans="1:8">
      <c r="A1578" t="s">
        <v>6147</v>
      </c>
      <c r="B1578" t="s">
        <v>6148</v>
      </c>
      <c r="C1578" t="s">
        <v>6149</v>
      </c>
      <c r="D1578" t="s">
        <v>57</v>
      </c>
      <c r="F1578" t="s">
        <v>6150</v>
      </c>
      <c r="G1578" t="s">
        <v>6151</v>
      </c>
      <c r="H1578" t="str">
        <f>"020 7481 8888"</f>
        <v>020 7481 8888</v>
      </c>
    </row>
    <row r="1579" spans="1:8">
      <c r="A1579" t="s">
        <v>6152</v>
      </c>
      <c r="B1579" t="s">
        <v>6153</v>
      </c>
      <c r="D1579" t="s">
        <v>1024</v>
      </c>
      <c r="E1579" t="s">
        <v>227</v>
      </c>
      <c r="F1579" t="s">
        <v>6154</v>
      </c>
      <c r="G1579" t="s">
        <v>6155</v>
      </c>
      <c r="H1579" t="str">
        <f>"03701500100"</f>
        <v>03701500100</v>
      </c>
    </row>
    <row r="1580" spans="1:8">
      <c r="A1580" t="s">
        <v>6152</v>
      </c>
      <c r="B1580" t="s">
        <v>6156</v>
      </c>
      <c r="D1580" t="s">
        <v>6157</v>
      </c>
      <c r="F1580" t="s">
        <v>6158</v>
      </c>
      <c r="G1580" t="s">
        <v>6159</v>
      </c>
      <c r="H1580" t="str">
        <f>"01635 571000 "</f>
        <v xml:space="preserve">01635 571000 </v>
      </c>
    </row>
    <row r="1581" spans="1:8">
      <c r="A1581" t="s">
        <v>6152</v>
      </c>
      <c r="B1581" t="s">
        <v>6160</v>
      </c>
      <c r="D1581" t="s">
        <v>57</v>
      </c>
      <c r="F1581" t="s">
        <v>6161</v>
      </c>
      <c r="G1581" t="s">
        <v>6162</v>
      </c>
      <c r="H1581" t="str">
        <f>"0370 1500 100 "</f>
        <v xml:space="preserve">0370 1500 100 </v>
      </c>
    </row>
    <row r="1582" spans="1:8">
      <c r="A1582" t="s">
        <v>6163</v>
      </c>
      <c r="B1582" t="s">
        <v>6164</v>
      </c>
      <c r="D1582" t="s">
        <v>2178</v>
      </c>
      <c r="F1582" t="s">
        <v>6165</v>
      </c>
      <c r="G1582" t="s">
        <v>6166</v>
      </c>
      <c r="H1582" t="str">
        <f>"0330 1373000"</f>
        <v>0330 1373000</v>
      </c>
    </row>
    <row r="1583" spans="1:8">
      <c r="A1583" t="s">
        <v>6163</v>
      </c>
      <c r="B1583" t="s">
        <v>6167</v>
      </c>
      <c r="D1583" t="s">
        <v>355</v>
      </c>
      <c r="F1583" t="s">
        <v>6168</v>
      </c>
      <c r="G1583" t="s">
        <v>6166</v>
      </c>
      <c r="H1583" t="str">
        <f>"0330 137 3100"</f>
        <v>0330 137 3100</v>
      </c>
    </row>
    <row r="1584" spans="1:8">
      <c r="A1584" t="s">
        <v>6163</v>
      </c>
      <c r="B1584" t="s">
        <v>6169</v>
      </c>
      <c r="D1584" t="s">
        <v>297</v>
      </c>
      <c r="F1584" t="s">
        <v>6170</v>
      </c>
      <c r="G1584" t="s">
        <v>6166</v>
      </c>
      <c r="H1584" t="str">
        <f>"0330 137 3200"</f>
        <v>0330 137 3200</v>
      </c>
    </row>
    <row r="1585" spans="1:8">
      <c r="A1585" t="s">
        <v>6172</v>
      </c>
      <c r="B1585" t="s">
        <v>6173</v>
      </c>
      <c r="C1585" t="s">
        <v>6174</v>
      </c>
      <c r="D1585" t="s">
        <v>1457</v>
      </c>
      <c r="F1585" t="s">
        <v>6175</v>
      </c>
      <c r="G1585" t="s">
        <v>6176</v>
      </c>
      <c r="H1585" t="str">
        <f>"0191 5677244"</f>
        <v>0191 5677244</v>
      </c>
    </row>
    <row r="1586" spans="1:8">
      <c r="A1586" t="s">
        <v>6177</v>
      </c>
      <c r="B1586" t="s">
        <v>6178</v>
      </c>
      <c r="C1586" t="s">
        <v>6179</v>
      </c>
      <c r="D1586" t="s">
        <v>440</v>
      </c>
      <c r="E1586" t="s">
        <v>315</v>
      </c>
      <c r="F1586" t="s">
        <v>6180</v>
      </c>
      <c r="G1586" t="s">
        <v>6181</v>
      </c>
      <c r="H1586" t="str">
        <f>"01244 405555"</f>
        <v>01244 405555</v>
      </c>
    </row>
    <row r="1587" spans="1:8">
      <c r="A1587" t="s">
        <v>6177</v>
      </c>
      <c r="B1587" t="s">
        <v>6182</v>
      </c>
      <c r="C1587" t="s">
        <v>6183</v>
      </c>
      <c r="D1587" t="s">
        <v>1103</v>
      </c>
      <c r="E1587" t="s">
        <v>106</v>
      </c>
      <c r="F1587" t="s">
        <v>6184</v>
      </c>
      <c r="G1587" t="s">
        <v>6185</v>
      </c>
      <c r="H1587" t="str">
        <f>""</f>
        <v/>
      </c>
    </row>
    <row r="1588" spans="1:8">
      <c r="A1588" t="s">
        <v>6186</v>
      </c>
      <c r="B1588" t="s">
        <v>6187</v>
      </c>
      <c r="C1588" t="s">
        <v>1960</v>
      </c>
      <c r="D1588" t="s">
        <v>3194</v>
      </c>
      <c r="F1588" t="s">
        <v>6188</v>
      </c>
      <c r="G1588" t="s">
        <v>6189</v>
      </c>
      <c r="H1588" t="str">
        <f>"0330 124 2171"</f>
        <v>0330 124 2171</v>
      </c>
    </row>
    <row r="1589" spans="1:8">
      <c r="A1589" t="s">
        <v>6186</v>
      </c>
      <c r="B1589" t="s">
        <v>6190</v>
      </c>
      <c r="D1589" t="s">
        <v>1111</v>
      </c>
      <c r="F1589" t="s">
        <v>1331</v>
      </c>
      <c r="G1589" t="s">
        <v>6191</v>
      </c>
      <c r="H1589" t="str">
        <f>"0800 288 9947"</f>
        <v>0800 288 9947</v>
      </c>
    </row>
    <row r="1590" spans="1:8">
      <c r="A1590" t="s">
        <v>6186</v>
      </c>
      <c r="B1590" t="s">
        <v>6192</v>
      </c>
      <c r="D1590" t="s">
        <v>1500</v>
      </c>
      <c r="E1590" t="s">
        <v>297</v>
      </c>
      <c r="F1590" t="s">
        <v>6193</v>
      </c>
      <c r="G1590" t="s">
        <v>6191</v>
      </c>
      <c r="H1590" t="str">
        <f>"0161 749 9606"</f>
        <v>0161 749 9606</v>
      </c>
    </row>
    <row r="1591" spans="1:8">
      <c r="A1591" t="s">
        <v>6194</v>
      </c>
      <c r="B1591" t="s">
        <v>6195</v>
      </c>
      <c r="D1591" t="s">
        <v>403</v>
      </c>
      <c r="E1591" t="s">
        <v>184</v>
      </c>
      <c r="F1591" t="s">
        <v>6196</v>
      </c>
      <c r="G1591" t="s">
        <v>6197</v>
      </c>
      <c r="H1591" t="str">
        <f>"01727798703"</f>
        <v>01727798703</v>
      </c>
    </row>
    <row r="1592" spans="1:8">
      <c r="A1592" t="s">
        <v>6198</v>
      </c>
      <c r="B1592" t="s">
        <v>6199</v>
      </c>
      <c r="D1592" t="s">
        <v>61</v>
      </c>
      <c r="F1592" t="s">
        <v>6200</v>
      </c>
      <c r="G1592" t="s">
        <v>6201</v>
      </c>
      <c r="H1592" t="str">
        <f>"0117 3179719"</f>
        <v>0117 3179719</v>
      </c>
    </row>
    <row r="1593" spans="1:8">
      <c r="A1593" t="s">
        <v>6202</v>
      </c>
      <c r="B1593" t="s">
        <v>6203</v>
      </c>
      <c r="D1593" t="s">
        <v>6204</v>
      </c>
      <c r="E1593" t="s">
        <v>1553</v>
      </c>
      <c r="F1593" t="s">
        <v>6205</v>
      </c>
      <c r="G1593" t="s">
        <v>6206</v>
      </c>
      <c r="H1593" t="str">
        <f>"01202512227"</f>
        <v>01202512227</v>
      </c>
    </row>
    <row r="1594" spans="1:8">
      <c r="A1594" t="s">
        <v>6202</v>
      </c>
      <c r="B1594" t="s">
        <v>6207</v>
      </c>
      <c r="C1594" t="s">
        <v>6208</v>
      </c>
      <c r="D1594" t="s">
        <v>1553</v>
      </c>
      <c r="F1594" t="s">
        <v>6209</v>
      </c>
      <c r="G1594" t="s">
        <v>6210</v>
      </c>
      <c r="H1594" t="str">
        <f>"01202 422622"</f>
        <v>01202 422622</v>
      </c>
    </row>
    <row r="1595" spans="1:8">
      <c r="A1595" t="s">
        <v>6211</v>
      </c>
      <c r="B1595" t="s">
        <v>6212</v>
      </c>
      <c r="D1595" t="s">
        <v>6213</v>
      </c>
      <c r="E1595" t="s">
        <v>16</v>
      </c>
      <c r="F1595" t="s">
        <v>6214</v>
      </c>
      <c r="G1595" t="s">
        <v>6215</v>
      </c>
      <c r="H1595" t="str">
        <f>"01384 811811"</f>
        <v>01384 811811</v>
      </c>
    </row>
    <row r="1596" spans="1:8">
      <c r="A1596" t="s">
        <v>6211</v>
      </c>
      <c r="B1596" t="s">
        <v>6216</v>
      </c>
      <c r="D1596" t="s">
        <v>6217</v>
      </c>
      <c r="E1596" t="s">
        <v>16</v>
      </c>
      <c r="F1596" t="s">
        <v>6218</v>
      </c>
      <c r="G1596" t="s">
        <v>6215</v>
      </c>
      <c r="H1596" t="str">
        <f>"01384 811811"</f>
        <v>01384 811811</v>
      </c>
    </row>
    <row r="1597" spans="1:8">
      <c r="A1597" t="s">
        <v>6211</v>
      </c>
      <c r="B1597" t="s">
        <v>6220</v>
      </c>
      <c r="D1597" t="s">
        <v>6219</v>
      </c>
      <c r="E1597" t="s">
        <v>16</v>
      </c>
      <c r="F1597" t="s">
        <v>6221</v>
      </c>
      <c r="G1597" t="s">
        <v>6215</v>
      </c>
      <c r="H1597" t="str">
        <f>"01384 811811"</f>
        <v>01384 811811</v>
      </c>
    </row>
    <row r="1598" spans="1:8">
      <c r="A1598" t="s">
        <v>6211</v>
      </c>
      <c r="B1598" t="s">
        <v>6222</v>
      </c>
      <c r="D1598" t="s">
        <v>20</v>
      </c>
      <c r="E1598" t="s">
        <v>11</v>
      </c>
      <c r="F1598" t="s">
        <v>6223</v>
      </c>
      <c r="G1598" t="s">
        <v>6215</v>
      </c>
      <c r="H1598" t="str">
        <f>"01905 900900"</f>
        <v>01905 900900</v>
      </c>
    </row>
    <row r="1599" spans="1:8">
      <c r="A1599" t="s">
        <v>6211</v>
      </c>
      <c r="B1599" t="s">
        <v>6224</v>
      </c>
      <c r="D1599" t="s">
        <v>4005</v>
      </c>
      <c r="E1599" t="s">
        <v>16</v>
      </c>
      <c r="F1599" t="s">
        <v>6225</v>
      </c>
      <c r="G1599" t="s">
        <v>6215</v>
      </c>
      <c r="H1599" t="str">
        <f>"01384 811811"</f>
        <v>01384 811811</v>
      </c>
    </row>
    <row r="1600" spans="1:8">
      <c r="A1600" t="s">
        <v>6211</v>
      </c>
      <c r="B1600" t="s">
        <v>6227</v>
      </c>
      <c r="C1600" t="s">
        <v>6226</v>
      </c>
      <c r="D1600" t="s">
        <v>14</v>
      </c>
      <c r="F1600" t="s">
        <v>6228</v>
      </c>
      <c r="G1600" t="s">
        <v>6229</v>
      </c>
      <c r="H1600" t="str">
        <f>"01217269999"</f>
        <v>01217269999</v>
      </c>
    </row>
    <row r="1601" spans="1:8">
      <c r="A1601" t="s">
        <v>6230</v>
      </c>
      <c r="B1601" t="s">
        <v>6231</v>
      </c>
      <c r="D1601" t="s">
        <v>6232</v>
      </c>
      <c r="E1601" t="s">
        <v>200</v>
      </c>
      <c r="F1601" t="s">
        <v>6233</v>
      </c>
      <c r="G1601" t="s">
        <v>6234</v>
      </c>
      <c r="H1601" t="str">
        <f>"0208 393 0231"</f>
        <v>0208 393 0231</v>
      </c>
    </row>
    <row r="1602" spans="1:8">
      <c r="A1602" t="s">
        <v>6230</v>
      </c>
      <c r="B1602" t="s">
        <v>6235</v>
      </c>
      <c r="C1602" t="s">
        <v>6236</v>
      </c>
      <c r="D1602" t="s">
        <v>6237</v>
      </c>
      <c r="E1602" t="s">
        <v>200</v>
      </c>
      <c r="F1602" t="s">
        <v>6238</v>
      </c>
      <c r="G1602" t="s">
        <v>6239</v>
      </c>
      <c r="H1602" t="str">
        <f>"020 8977 7763"</f>
        <v>020 8977 7763</v>
      </c>
    </row>
    <row r="1603" spans="1:8">
      <c r="A1603" t="s">
        <v>6240</v>
      </c>
      <c r="B1603" t="s">
        <v>6241</v>
      </c>
      <c r="C1603" t="s">
        <v>6242</v>
      </c>
      <c r="D1603" t="s">
        <v>61</v>
      </c>
      <c r="E1603" t="s">
        <v>61</v>
      </c>
      <c r="F1603" t="s">
        <v>6243</v>
      </c>
      <c r="G1603" t="s">
        <v>6244</v>
      </c>
      <c r="H1603" t="str">
        <f>"0117 9292811"</f>
        <v>0117 9292811</v>
      </c>
    </row>
    <row r="1604" spans="1:8">
      <c r="A1604" t="s">
        <v>6240</v>
      </c>
      <c r="B1604" t="s">
        <v>6245</v>
      </c>
      <c r="C1604" t="s">
        <v>6246</v>
      </c>
      <c r="D1604" t="s">
        <v>61</v>
      </c>
      <c r="F1604" t="s">
        <v>6247</v>
      </c>
      <c r="G1604" t="s">
        <v>6248</v>
      </c>
      <c r="H1604" t="str">
        <f>"01454316789"</f>
        <v>01454316789</v>
      </c>
    </row>
    <row r="1605" spans="1:8">
      <c r="A1605" t="s">
        <v>6240</v>
      </c>
      <c r="B1605" t="s">
        <v>6249</v>
      </c>
      <c r="C1605" t="s">
        <v>1965</v>
      </c>
      <c r="D1605" t="s">
        <v>61</v>
      </c>
      <c r="F1605" t="s">
        <v>6250</v>
      </c>
      <c r="G1605" t="s">
        <v>6251</v>
      </c>
      <c r="H1605" t="str">
        <f>"01454 204880"</f>
        <v>01454 204880</v>
      </c>
    </row>
    <row r="1606" spans="1:8">
      <c r="A1606" t="s">
        <v>6240</v>
      </c>
      <c r="B1606" t="s">
        <v>6253</v>
      </c>
      <c r="D1606" t="s">
        <v>6252</v>
      </c>
      <c r="E1606" t="s">
        <v>6254</v>
      </c>
      <c r="F1606" t="s">
        <v>6255</v>
      </c>
      <c r="G1606" t="s">
        <v>6256</v>
      </c>
      <c r="H1606" t="str">
        <f>"01275 850470"</f>
        <v>01275 850470</v>
      </c>
    </row>
    <row r="1607" spans="1:8">
      <c r="A1607" t="s">
        <v>6240</v>
      </c>
      <c r="B1607" t="s">
        <v>6258</v>
      </c>
      <c r="D1607" t="s">
        <v>6257</v>
      </c>
      <c r="E1607" t="s">
        <v>6254</v>
      </c>
      <c r="F1607" t="s">
        <v>6259</v>
      </c>
      <c r="G1607" t="s">
        <v>6260</v>
      </c>
      <c r="H1607" t="str">
        <f>"01275 858515"</f>
        <v>01275 858515</v>
      </c>
    </row>
    <row r="1608" spans="1:8">
      <c r="A1608" t="s">
        <v>6240</v>
      </c>
      <c r="B1608" t="s">
        <v>6261</v>
      </c>
      <c r="C1608" t="s">
        <v>3845</v>
      </c>
      <c r="D1608" t="s">
        <v>61</v>
      </c>
      <c r="F1608" t="s">
        <v>6262</v>
      </c>
      <c r="G1608" t="s">
        <v>6263</v>
      </c>
      <c r="H1608" t="str">
        <f>"01275 850460"</f>
        <v>01275 850460</v>
      </c>
    </row>
    <row r="1609" spans="1:8">
      <c r="A1609" t="s">
        <v>6240</v>
      </c>
      <c r="B1609" t="s">
        <v>6264</v>
      </c>
      <c r="C1609" t="s">
        <v>6265</v>
      </c>
      <c r="D1609" t="s">
        <v>61</v>
      </c>
      <c r="E1609" t="s">
        <v>1956</v>
      </c>
      <c r="F1609" t="s">
        <v>6266</v>
      </c>
      <c r="G1609" t="s">
        <v>6267</v>
      </c>
      <c r="H1609" t="str">
        <f>"0117 943 4800"</f>
        <v>0117 943 4800</v>
      </c>
    </row>
    <row r="1610" spans="1:8">
      <c r="A1610" t="s">
        <v>6240</v>
      </c>
      <c r="B1610" t="s">
        <v>6269</v>
      </c>
      <c r="D1610" t="s">
        <v>6268</v>
      </c>
      <c r="E1610" t="s">
        <v>6254</v>
      </c>
      <c r="F1610" t="s">
        <v>6270</v>
      </c>
      <c r="G1610" t="s">
        <v>6271</v>
      </c>
      <c r="H1610" t="str">
        <f>"01934 413 535"</f>
        <v>01934 413 535</v>
      </c>
    </row>
    <row r="1611" spans="1:8">
      <c r="A1611" t="s">
        <v>6240</v>
      </c>
      <c r="B1611" t="s">
        <v>6273</v>
      </c>
      <c r="C1611" t="s">
        <v>6272</v>
      </c>
      <c r="D1611" t="s">
        <v>6268</v>
      </c>
      <c r="E1611" t="s">
        <v>6254</v>
      </c>
      <c r="F1611" t="s">
        <v>6274</v>
      </c>
      <c r="G1611" t="s">
        <v>6275</v>
      </c>
      <c r="H1611" t="str">
        <f>"01934 428811"</f>
        <v>01934 428811</v>
      </c>
    </row>
    <row r="1612" spans="1:8">
      <c r="A1612" t="s">
        <v>6240</v>
      </c>
      <c r="B1612" t="s">
        <v>6277</v>
      </c>
      <c r="C1612" t="s">
        <v>6276</v>
      </c>
      <c r="D1612" t="s">
        <v>61</v>
      </c>
      <c r="F1612" t="s">
        <v>6278</v>
      </c>
      <c r="G1612" t="s">
        <v>6279</v>
      </c>
      <c r="H1612" t="str">
        <f>"0117 9863504"</f>
        <v>0117 9863504</v>
      </c>
    </row>
    <row r="1613" spans="1:8">
      <c r="A1613" t="s">
        <v>6240</v>
      </c>
      <c r="B1613" t="s">
        <v>6280</v>
      </c>
      <c r="D1613" t="s">
        <v>61</v>
      </c>
      <c r="F1613" t="s">
        <v>6281</v>
      </c>
      <c r="G1613" t="s">
        <v>6282</v>
      </c>
      <c r="H1613" t="str">
        <f>"0117 4281999 "</f>
        <v xml:space="preserve">0117 4281999 </v>
      </c>
    </row>
    <row r="1614" spans="1:8">
      <c r="A1614" t="s">
        <v>6240</v>
      </c>
      <c r="B1614" t="s">
        <v>4283</v>
      </c>
      <c r="D1614" t="s">
        <v>4408</v>
      </c>
      <c r="E1614" t="s">
        <v>61</v>
      </c>
      <c r="F1614" t="s">
        <v>6283</v>
      </c>
      <c r="G1614" t="s">
        <v>6244</v>
      </c>
      <c r="H1614" t="str">
        <f>"01454 204899"</f>
        <v>01454 204899</v>
      </c>
    </row>
    <row r="1615" spans="1:8">
      <c r="A1615" t="s">
        <v>6240</v>
      </c>
      <c r="B1615" t="s">
        <v>6284</v>
      </c>
      <c r="C1615" t="s">
        <v>3826</v>
      </c>
      <c r="D1615" t="s">
        <v>6285</v>
      </c>
      <c r="F1615" t="s">
        <v>3827</v>
      </c>
      <c r="G1615" t="s">
        <v>6286</v>
      </c>
      <c r="H1615" t="str">
        <f>"01179434900"</f>
        <v>01179434900</v>
      </c>
    </row>
    <row r="1616" spans="1:8">
      <c r="A1616" t="s">
        <v>6287</v>
      </c>
      <c r="B1616" t="s">
        <v>6288</v>
      </c>
      <c r="C1616" t="s">
        <v>932</v>
      </c>
      <c r="D1616" t="s">
        <v>6289</v>
      </c>
      <c r="F1616" t="s">
        <v>6290</v>
      </c>
      <c r="G1616" t="s">
        <v>6291</v>
      </c>
      <c r="H1616" t="str">
        <f>"0151 294 3155"</f>
        <v>0151 294 3155</v>
      </c>
    </row>
    <row r="1617" spans="1:8">
      <c r="A1617" t="s">
        <v>6287</v>
      </c>
      <c r="B1617" t="s">
        <v>6292</v>
      </c>
      <c r="C1617" t="s">
        <v>6293</v>
      </c>
      <c r="D1617" t="s">
        <v>892</v>
      </c>
      <c r="E1617" t="s">
        <v>2589</v>
      </c>
      <c r="F1617" t="s">
        <v>2584</v>
      </c>
      <c r="G1617" t="s">
        <v>6291</v>
      </c>
      <c r="H1617" t="str">
        <f>"0151 705 8588"</f>
        <v>0151 705 8588</v>
      </c>
    </row>
    <row r="1618" spans="1:8">
      <c r="A1618" t="s">
        <v>6294</v>
      </c>
      <c r="B1618" t="s">
        <v>6295</v>
      </c>
      <c r="D1618" t="s">
        <v>235</v>
      </c>
      <c r="E1618" t="s">
        <v>236</v>
      </c>
      <c r="F1618" t="s">
        <v>6296</v>
      </c>
      <c r="G1618" t="s">
        <v>6297</v>
      </c>
      <c r="H1618" t="str">
        <f>"01785 256445"</f>
        <v>01785 256445</v>
      </c>
    </row>
    <row r="1619" spans="1:8">
      <c r="A1619" t="s">
        <v>6298</v>
      </c>
      <c r="B1619" t="s">
        <v>6299</v>
      </c>
      <c r="D1619" t="s">
        <v>6300</v>
      </c>
      <c r="E1619" t="s">
        <v>309</v>
      </c>
      <c r="F1619" t="s">
        <v>6301</v>
      </c>
      <c r="G1619" t="s">
        <v>6302</v>
      </c>
      <c r="H1619" t="str">
        <f>"01626 772441"</f>
        <v>01626 772441</v>
      </c>
    </row>
    <row r="1620" spans="1:8">
      <c r="A1620" t="s">
        <v>6298</v>
      </c>
      <c r="B1620" t="s">
        <v>6303</v>
      </c>
      <c r="D1620" t="s">
        <v>3882</v>
      </c>
      <c r="F1620" t="s">
        <v>6304</v>
      </c>
      <c r="G1620" t="s">
        <v>6302</v>
      </c>
      <c r="H1620" t="str">
        <f>"01626772441"</f>
        <v>01626772441</v>
      </c>
    </row>
    <row r="1621" spans="1:8">
      <c r="A1621" t="s">
        <v>6305</v>
      </c>
      <c r="B1621" t="s">
        <v>6306</v>
      </c>
      <c r="D1621" t="s">
        <v>429</v>
      </c>
      <c r="E1621" t="s">
        <v>280</v>
      </c>
      <c r="F1621" t="s">
        <v>6307</v>
      </c>
      <c r="G1621" t="s">
        <v>6308</v>
      </c>
      <c r="H1621" t="str">
        <f>"0113 236 2334"</f>
        <v>0113 236 2334</v>
      </c>
    </row>
    <row r="1622" spans="1:8">
      <c r="A1622" t="s">
        <v>6309</v>
      </c>
      <c r="B1622" t="s">
        <v>6310</v>
      </c>
      <c r="D1622" t="s">
        <v>2178</v>
      </c>
      <c r="F1622" t="s">
        <v>6311</v>
      </c>
      <c r="G1622" t="s">
        <v>6312</v>
      </c>
      <c r="H1622" t="str">
        <f>"0191 2454737"</f>
        <v>0191 2454737</v>
      </c>
    </row>
    <row r="1623" spans="1:8">
      <c r="A1623" t="s">
        <v>6313</v>
      </c>
      <c r="B1623" t="s">
        <v>6314</v>
      </c>
      <c r="C1623" t="s">
        <v>6315</v>
      </c>
      <c r="D1623" t="s">
        <v>770</v>
      </c>
      <c r="E1623" t="s">
        <v>132</v>
      </c>
      <c r="F1623" t="s">
        <v>6316</v>
      </c>
      <c r="G1623" t="s">
        <v>6317</v>
      </c>
      <c r="H1623" t="str">
        <f>"01617631000"</f>
        <v>01617631000</v>
      </c>
    </row>
    <row r="1624" spans="1:8">
      <c r="A1624" t="s">
        <v>6313</v>
      </c>
      <c r="B1624" t="s">
        <v>6319</v>
      </c>
      <c r="D1624" t="s">
        <v>1300</v>
      </c>
      <c r="E1624" t="s">
        <v>132</v>
      </c>
      <c r="F1624" t="s">
        <v>6320</v>
      </c>
      <c r="G1624" t="s">
        <v>6321</v>
      </c>
      <c r="H1624" t="str">
        <f>"01706 653322"</f>
        <v>01706 653322</v>
      </c>
    </row>
    <row r="1625" spans="1:8">
      <c r="A1625" t="s">
        <v>6322</v>
      </c>
      <c r="B1625" t="s">
        <v>6323</v>
      </c>
      <c r="D1625" t="s">
        <v>2360</v>
      </c>
      <c r="E1625" t="s">
        <v>2006</v>
      </c>
      <c r="F1625" t="s">
        <v>6324</v>
      </c>
      <c r="G1625" t="s">
        <v>6325</v>
      </c>
      <c r="H1625" t="str">
        <f>"0208 363 0101"</f>
        <v>0208 363 0101</v>
      </c>
    </row>
    <row r="1626" spans="1:8">
      <c r="A1626" t="s">
        <v>6326</v>
      </c>
      <c r="B1626" t="s">
        <v>6327</v>
      </c>
      <c r="D1626" t="s">
        <v>70</v>
      </c>
      <c r="E1626" t="s">
        <v>67</v>
      </c>
      <c r="F1626" t="s">
        <v>6328</v>
      </c>
      <c r="G1626" t="s">
        <v>6329</v>
      </c>
      <c r="H1626" t="str">
        <f>"01228510077"</f>
        <v>01228510077</v>
      </c>
    </row>
    <row r="1627" spans="1:8">
      <c r="A1627" t="s">
        <v>6330</v>
      </c>
      <c r="B1627" t="s">
        <v>6331</v>
      </c>
      <c r="D1627" t="s">
        <v>3566</v>
      </c>
      <c r="E1627" t="s">
        <v>2281</v>
      </c>
      <c r="F1627" t="s">
        <v>6332</v>
      </c>
      <c r="G1627" t="s">
        <v>6333</v>
      </c>
      <c r="H1627" t="str">
        <f>"01326 572951"</f>
        <v>01326 572951</v>
      </c>
    </row>
    <row r="1628" spans="1:8">
      <c r="A1628" t="s">
        <v>6334</v>
      </c>
      <c r="B1628" t="s">
        <v>6335</v>
      </c>
      <c r="D1628" t="s">
        <v>355</v>
      </c>
      <c r="E1628" t="s">
        <v>280</v>
      </c>
      <c r="F1628" t="s">
        <v>6336</v>
      </c>
      <c r="G1628" t="s">
        <v>6337</v>
      </c>
      <c r="H1628" t="str">
        <f>"0113 245 0852"</f>
        <v>0113 245 0852</v>
      </c>
    </row>
    <row r="1629" spans="1:8">
      <c r="A1629" t="s">
        <v>6334</v>
      </c>
      <c r="B1629" t="s">
        <v>6338</v>
      </c>
      <c r="D1629" t="s">
        <v>1345</v>
      </c>
      <c r="E1629" t="s">
        <v>616</v>
      </c>
      <c r="F1629" t="s">
        <v>6339</v>
      </c>
      <c r="G1629" t="s">
        <v>6337</v>
      </c>
      <c r="H1629" t="str">
        <f>"01423 530103"</f>
        <v>01423 530103</v>
      </c>
    </row>
    <row r="1630" spans="1:8">
      <c r="A1630" t="s">
        <v>6334</v>
      </c>
      <c r="B1630" t="s">
        <v>6340</v>
      </c>
      <c r="D1630" t="s">
        <v>3523</v>
      </c>
      <c r="F1630" t="s">
        <v>6341</v>
      </c>
      <c r="G1630" t="s">
        <v>6337</v>
      </c>
      <c r="H1630" t="str">
        <f>"01325 466461"</f>
        <v>01325 466461</v>
      </c>
    </row>
    <row r="1631" spans="1:8">
      <c r="A1631" t="s">
        <v>6342</v>
      </c>
      <c r="B1631" t="s">
        <v>6343</v>
      </c>
      <c r="C1631" t="s">
        <v>6344</v>
      </c>
      <c r="D1631" t="s">
        <v>6171</v>
      </c>
      <c r="E1631" t="s">
        <v>132</v>
      </c>
      <c r="F1631" t="s">
        <v>6345</v>
      </c>
      <c r="G1631" t="s">
        <v>6346</v>
      </c>
      <c r="H1631" t="str">
        <f>"08455550606"</f>
        <v>08455550606</v>
      </c>
    </row>
    <row r="1632" spans="1:8">
      <c r="A1632" t="s">
        <v>6347</v>
      </c>
      <c r="B1632" t="s">
        <v>6348</v>
      </c>
      <c r="C1632" t="s">
        <v>6349</v>
      </c>
      <c r="D1632" t="s">
        <v>2494</v>
      </c>
      <c r="E1632" t="s">
        <v>2112</v>
      </c>
      <c r="F1632" t="s">
        <v>6350</v>
      </c>
      <c r="G1632" t="s">
        <v>6351</v>
      </c>
      <c r="H1632" t="str">
        <f>"0161 393 2299"</f>
        <v>0161 393 2299</v>
      </c>
    </row>
    <row r="1633" spans="1:8">
      <c r="A1633" t="s">
        <v>6352</v>
      </c>
      <c r="B1633" t="s">
        <v>6353</v>
      </c>
      <c r="D1633" t="s">
        <v>1111</v>
      </c>
      <c r="E1633" t="s">
        <v>16</v>
      </c>
      <c r="F1633" t="s">
        <v>6354</v>
      </c>
      <c r="G1633" t="s">
        <v>6355</v>
      </c>
      <c r="H1633" t="str">
        <f>"01902 423 431"</f>
        <v>01902 423 431</v>
      </c>
    </row>
    <row r="1634" spans="1:8">
      <c r="A1634" t="s">
        <v>6352</v>
      </c>
      <c r="B1634" t="s">
        <v>6357</v>
      </c>
      <c r="D1634" t="s">
        <v>6356</v>
      </c>
      <c r="E1634" t="s">
        <v>106</v>
      </c>
      <c r="F1634" t="s">
        <v>6358</v>
      </c>
      <c r="G1634" t="s">
        <v>6359</v>
      </c>
      <c r="H1634" t="str">
        <f>"01746764171"</f>
        <v>01746764171</v>
      </c>
    </row>
    <row r="1635" spans="1:8">
      <c r="A1635" t="s">
        <v>6360</v>
      </c>
      <c r="B1635" t="s">
        <v>6361</v>
      </c>
      <c r="D1635" t="s">
        <v>2928</v>
      </c>
      <c r="E1635" t="s">
        <v>703</v>
      </c>
      <c r="F1635" t="s">
        <v>6362</v>
      </c>
      <c r="G1635" t="s">
        <v>6363</v>
      </c>
      <c r="H1635" t="str">
        <f>"01722 412412"</f>
        <v>01722 412412</v>
      </c>
    </row>
    <row r="1636" spans="1:8">
      <c r="A1636" t="s">
        <v>6364</v>
      </c>
      <c r="B1636" t="s">
        <v>6365</v>
      </c>
      <c r="D1636" t="s">
        <v>3803</v>
      </c>
      <c r="E1636" t="s">
        <v>1487</v>
      </c>
      <c r="F1636" t="s">
        <v>6366</v>
      </c>
      <c r="G1636" t="s">
        <v>6367</v>
      </c>
      <c r="H1636" t="str">
        <f>"01388606660"</f>
        <v>01388606660</v>
      </c>
    </row>
    <row r="1637" spans="1:8">
      <c r="A1637" t="s">
        <v>6368</v>
      </c>
      <c r="B1637" t="s">
        <v>6369</v>
      </c>
      <c r="D1637" t="s">
        <v>6370</v>
      </c>
      <c r="E1637" t="s">
        <v>315</v>
      </c>
      <c r="F1637" t="s">
        <v>6371</v>
      </c>
      <c r="G1637" t="s">
        <v>6372</v>
      </c>
      <c r="H1637" t="str">
        <f>"01928735333"</f>
        <v>01928735333</v>
      </c>
    </row>
    <row r="1638" spans="1:8">
      <c r="A1638" t="s">
        <v>6368</v>
      </c>
      <c r="B1638" t="s">
        <v>6373</v>
      </c>
      <c r="C1638" t="s">
        <v>6374</v>
      </c>
      <c r="D1638" t="s">
        <v>6375</v>
      </c>
      <c r="E1638" t="s">
        <v>315</v>
      </c>
      <c r="F1638" t="s">
        <v>6376</v>
      </c>
      <c r="G1638" t="s">
        <v>6372</v>
      </c>
      <c r="H1638" t="str">
        <f>"01928 735333"</f>
        <v>01928 735333</v>
      </c>
    </row>
    <row r="1639" spans="1:8">
      <c r="A1639" t="s">
        <v>6368</v>
      </c>
      <c r="B1639" t="s">
        <v>6378</v>
      </c>
      <c r="D1639" t="s">
        <v>6377</v>
      </c>
      <c r="F1639" t="s">
        <v>6379</v>
      </c>
      <c r="G1639" t="s">
        <v>6372</v>
      </c>
      <c r="H1639" t="str">
        <f>"01928 735333"</f>
        <v>01928 735333</v>
      </c>
    </row>
    <row r="1640" spans="1:8">
      <c r="A1640" t="s">
        <v>6380</v>
      </c>
      <c r="B1640" t="s">
        <v>6381</v>
      </c>
      <c r="D1640" t="s">
        <v>1896</v>
      </c>
      <c r="F1640" t="s">
        <v>6382</v>
      </c>
      <c r="G1640" t="s">
        <v>6383</v>
      </c>
      <c r="H1640" t="str">
        <f>"02392259822"</f>
        <v>02392259822</v>
      </c>
    </row>
    <row r="1641" spans="1:8">
      <c r="A1641" t="s">
        <v>6384</v>
      </c>
      <c r="B1641" t="s">
        <v>6385</v>
      </c>
      <c r="D1641" t="s">
        <v>70</v>
      </c>
      <c r="E1641" t="s">
        <v>67</v>
      </c>
      <c r="F1641" t="s">
        <v>6386</v>
      </c>
      <c r="G1641" t="s">
        <v>6387</v>
      </c>
      <c r="H1641" t="str">
        <f>"01228 516666"</f>
        <v>01228 516666</v>
      </c>
    </row>
    <row r="1642" spans="1:8">
      <c r="A1642" t="s">
        <v>6384</v>
      </c>
      <c r="B1642" t="s">
        <v>6389</v>
      </c>
      <c r="C1642" t="s">
        <v>6388</v>
      </c>
      <c r="D1642" t="s">
        <v>6390</v>
      </c>
      <c r="E1642" t="s">
        <v>67</v>
      </c>
      <c r="F1642" t="s">
        <v>6391</v>
      </c>
      <c r="G1642" t="s">
        <v>6387</v>
      </c>
      <c r="H1642" t="str">
        <f>"01228 514077"</f>
        <v>01228 514077</v>
      </c>
    </row>
    <row r="1643" spans="1:8">
      <c r="A1643" t="s">
        <v>6384</v>
      </c>
      <c r="B1643" t="s">
        <v>6392</v>
      </c>
      <c r="D1643" t="s">
        <v>6393</v>
      </c>
      <c r="E1643" t="s">
        <v>67</v>
      </c>
      <c r="F1643" t="s">
        <v>6394</v>
      </c>
      <c r="G1643" t="s">
        <v>6387</v>
      </c>
      <c r="H1643" t="str">
        <f>"01768 862236"</f>
        <v>01768 862236</v>
      </c>
    </row>
    <row r="1644" spans="1:8">
      <c r="A1644" t="s">
        <v>6384</v>
      </c>
      <c r="B1644" t="s">
        <v>6395</v>
      </c>
      <c r="D1644" t="s">
        <v>6396</v>
      </c>
      <c r="E1644" t="s">
        <v>67</v>
      </c>
      <c r="F1644" t="s">
        <v>6397</v>
      </c>
      <c r="G1644" t="s">
        <v>6387</v>
      </c>
      <c r="H1644" t="str">
        <f>"016977 2378"</f>
        <v>016977 2378</v>
      </c>
    </row>
    <row r="1645" spans="1:8">
      <c r="A1645" t="s">
        <v>6384</v>
      </c>
      <c r="B1645" t="s">
        <v>6398</v>
      </c>
      <c r="D1645" t="s">
        <v>6399</v>
      </c>
      <c r="E1645" t="s">
        <v>730</v>
      </c>
      <c r="F1645" t="s">
        <v>6400</v>
      </c>
      <c r="G1645" t="s">
        <v>6387</v>
      </c>
      <c r="H1645" t="str">
        <f>"01434 320362"</f>
        <v>01434 320362</v>
      </c>
    </row>
    <row r="1646" spans="1:8">
      <c r="A1646" t="s">
        <v>6384</v>
      </c>
      <c r="B1646" t="s">
        <v>6401</v>
      </c>
      <c r="D1646" t="s">
        <v>2803</v>
      </c>
      <c r="E1646" t="s">
        <v>67</v>
      </c>
      <c r="F1646" t="s">
        <v>6402</v>
      </c>
      <c r="G1646" t="s">
        <v>6387</v>
      </c>
      <c r="H1646" t="str">
        <f>"01900 876123"</f>
        <v>01900 876123</v>
      </c>
    </row>
    <row r="1647" spans="1:8">
      <c r="A1647" t="s">
        <v>6384</v>
      </c>
      <c r="B1647" t="s">
        <v>6404</v>
      </c>
      <c r="C1647" t="s">
        <v>6405</v>
      </c>
      <c r="D1647" t="s">
        <v>6403</v>
      </c>
      <c r="F1647" t="s">
        <v>6406</v>
      </c>
      <c r="G1647" t="s">
        <v>6387</v>
      </c>
      <c r="H1647" t="str">
        <f>"01434 603656"</f>
        <v>01434 603656</v>
      </c>
    </row>
    <row r="1648" spans="1:8">
      <c r="A1648" t="s">
        <v>6407</v>
      </c>
      <c r="B1648" t="s">
        <v>6408</v>
      </c>
      <c r="C1648" t="s">
        <v>6409</v>
      </c>
      <c r="D1648" t="s">
        <v>6410</v>
      </c>
      <c r="F1648" t="s">
        <v>6411</v>
      </c>
      <c r="G1648" t="s">
        <v>6412</v>
      </c>
      <c r="H1648" t="str">
        <f>"01824 704495"</f>
        <v>01824 704495</v>
      </c>
    </row>
    <row r="1649" spans="1:8">
      <c r="A1649" t="s">
        <v>6407</v>
      </c>
      <c r="B1649" t="s">
        <v>2797</v>
      </c>
      <c r="C1649" t="s">
        <v>6413</v>
      </c>
      <c r="D1649" t="s">
        <v>3930</v>
      </c>
      <c r="E1649" t="s">
        <v>3932</v>
      </c>
      <c r="F1649" t="s">
        <v>6414</v>
      </c>
      <c r="G1649" t="s">
        <v>6415</v>
      </c>
      <c r="H1649" t="str">
        <f>"01352 755305"</f>
        <v>01352 755305</v>
      </c>
    </row>
    <row r="1650" spans="1:8">
      <c r="A1650" t="s">
        <v>6416</v>
      </c>
      <c r="B1650" t="s">
        <v>6417</v>
      </c>
      <c r="D1650" t="s">
        <v>203</v>
      </c>
      <c r="E1650" t="s">
        <v>200</v>
      </c>
      <c r="F1650" t="s">
        <v>6418</v>
      </c>
      <c r="G1650" t="s">
        <v>6419</v>
      </c>
      <c r="H1650" t="str">
        <f>"01276 692233"</f>
        <v>01276 692233</v>
      </c>
    </row>
    <row r="1651" spans="1:8">
      <c r="A1651" t="s">
        <v>6416</v>
      </c>
      <c r="B1651" t="s">
        <v>6420</v>
      </c>
      <c r="D1651" t="s">
        <v>6421</v>
      </c>
      <c r="F1651" t="s">
        <v>6422</v>
      </c>
      <c r="G1651" t="s">
        <v>6419</v>
      </c>
      <c r="H1651" t="str">
        <f>"01344 425637"</f>
        <v>01344 425637</v>
      </c>
    </row>
    <row r="1652" spans="1:8">
      <c r="A1652" t="s">
        <v>6416</v>
      </c>
      <c r="B1652" t="s">
        <v>3808</v>
      </c>
      <c r="D1652" t="s">
        <v>4199</v>
      </c>
      <c r="F1652" t="s">
        <v>6423</v>
      </c>
      <c r="G1652" t="s">
        <v>6419</v>
      </c>
      <c r="H1652" t="str">
        <f>"01372 725655"</f>
        <v>01372 725655</v>
      </c>
    </row>
    <row r="1653" spans="1:8">
      <c r="A1653" t="s">
        <v>6424</v>
      </c>
      <c r="B1653" t="s">
        <v>6425</v>
      </c>
      <c r="D1653" t="s">
        <v>1715</v>
      </c>
      <c r="E1653" t="s">
        <v>132</v>
      </c>
      <c r="F1653" t="s">
        <v>6426</v>
      </c>
      <c r="G1653" t="s">
        <v>6427</v>
      </c>
      <c r="H1653" t="str">
        <f>"01282 426251"</f>
        <v>01282 426251</v>
      </c>
    </row>
    <row r="1654" spans="1:8">
      <c r="A1654" t="s">
        <v>6424</v>
      </c>
      <c r="B1654" t="s">
        <v>6428</v>
      </c>
      <c r="C1654" t="s">
        <v>1713</v>
      </c>
      <c r="D1654" t="s">
        <v>1715</v>
      </c>
      <c r="E1654" t="s">
        <v>132</v>
      </c>
      <c r="F1654" t="s">
        <v>6429</v>
      </c>
      <c r="G1654" t="s">
        <v>6430</v>
      </c>
      <c r="H1654" t="str">
        <f>"01282 778434"</f>
        <v>01282 778434</v>
      </c>
    </row>
    <row r="1655" spans="1:8">
      <c r="A1655" t="s">
        <v>6431</v>
      </c>
      <c r="B1655" t="s">
        <v>6432</v>
      </c>
      <c r="C1655" t="s">
        <v>6433</v>
      </c>
      <c r="D1655" t="s">
        <v>6434</v>
      </c>
      <c r="E1655" t="s">
        <v>760</v>
      </c>
      <c r="F1655" t="s">
        <v>6435</v>
      </c>
      <c r="G1655" t="s">
        <v>6436</v>
      </c>
      <c r="H1655" t="str">
        <f>"01865 722383"</f>
        <v>01865 722383</v>
      </c>
    </row>
    <row r="1656" spans="1:8">
      <c r="A1656" t="s">
        <v>6437</v>
      </c>
      <c r="B1656" t="s">
        <v>6438</v>
      </c>
      <c r="D1656" t="s">
        <v>6439</v>
      </c>
      <c r="E1656" t="s">
        <v>4058</v>
      </c>
      <c r="F1656" t="s">
        <v>6440</v>
      </c>
      <c r="G1656" t="s">
        <v>6441</v>
      </c>
      <c r="H1656" t="str">
        <f>"01992442911"</f>
        <v>01992442911</v>
      </c>
    </row>
    <row r="1657" spans="1:8">
      <c r="A1657" t="s">
        <v>6437</v>
      </c>
      <c r="B1657" t="s">
        <v>6442</v>
      </c>
      <c r="D1657" t="s">
        <v>3190</v>
      </c>
      <c r="E1657" t="s">
        <v>184</v>
      </c>
      <c r="F1657" t="s">
        <v>6443</v>
      </c>
      <c r="G1657" t="s">
        <v>6444</v>
      </c>
      <c r="H1657" t="str">
        <f>"01992 587065"</f>
        <v>01992 587065</v>
      </c>
    </row>
    <row r="1658" spans="1:8">
      <c r="A1658" t="s">
        <v>6437</v>
      </c>
      <c r="B1658" t="s">
        <v>6445</v>
      </c>
      <c r="D1658" t="s">
        <v>2360</v>
      </c>
      <c r="E1658" t="s">
        <v>2006</v>
      </c>
      <c r="F1658" t="s">
        <v>6446</v>
      </c>
      <c r="G1658" t="s">
        <v>6447</v>
      </c>
      <c r="H1658" t="str">
        <f>"0208 804 5271"</f>
        <v>0208 804 5271</v>
      </c>
    </row>
    <row r="1659" spans="1:8">
      <c r="A1659" t="s">
        <v>6448</v>
      </c>
      <c r="B1659" t="s">
        <v>6449</v>
      </c>
      <c r="C1659" t="s">
        <v>6450</v>
      </c>
      <c r="D1659" t="s">
        <v>6451</v>
      </c>
      <c r="E1659" t="s">
        <v>2006</v>
      </c>
      <c r="F1659" t="s">
        <v>6452</v>
      </c>
      <c r="G1659" t="s">
        <v>6453</v>
      </c>
      <c r="H1659" t="str">
        <f>"02085740666"</f>
        <v>02085740666</v>
      </c>
    </row>
    <row r="1660" spans="1:8">
      <c r="A1660" t="s">
        <v>6454</v>
      </c>
      <c r="B1660" t="s">
        <v>6455</v>
      </c>
      <c r="D1660" t="s">
        <v>4291</v>
      </c>
      <c r="E1660" t="s">
        <v>775</v>
      </c>
      <c r="F1660" t="s">
        <v>6456</v>
      </c>
      <c r="G1660" t="s">
        <v>6457</v>
      </c>
      <c r="H1660" t="str">
        <f>"01455610747"</f>
        <v>01455610747</v>
      </c>
    </row>
    <row r="1661" spans="1:8">
      <c r="A1661" t="s">
        <v>6454</v>
      </c>
      <c r="B1661" t="s">
        <v>6458</v>
      </c>
      <c r="C1661" t="s">
        <v>6459</v>
      </c>
      <c r="D1661" t="s">
        <v>1198</v>
      </c>
      <c r="F1661" t="s">
        <v>6460</v>
      </c>
      <c r="G1661" t="s">
        <v>6461</v>
      </c>
      <c r="H1661" t="str">
        <f>"01926887700"</f>
        <v>01926887700</v>
      </c>
    </row>
    <row r="1662" spans="1:8">
      <c r="A1662" t="s">
        <v>6462</v>
      </c>
      <c r="B1662" t="s">
        <v>6463</v>
      </c>
      <c r="C1662" t="s">
        <v>6464</v>
      </c>
      <c r="D1662" t="s">
        <v>409</v>
      </c>
      <c r="E1662" t="s">
        <v>410</v>
      </c>
      <c r="F1662" t="s">
        <v>6465</v>
      </c>
      <c r="G1662" t="s">
        <v>6466</v>
      </c>
      <c r="H1662" t="str">
        <f>"0115 6972028"</f>
        <v>0115 6972028</v>
      </c>
    </row>
    <row r="1663" spans="1:8">
      <c r="A1663" t="s">
        <v>6467</v>
      </c>
      <c r="B1663" t="s">
        <v>6468</v>
      </c>
      <c r="D1663" t="s">
        <v>6469</v>
      </c>
      <c r="E1663" t="s">
        <v>315</v>
      </c>
      <c r="F1663" t="s">
        <v>6470</v>
      </c>
      <c r="G1663" t="s">
        <v>6471</v>
      </c>
      <c r="H1663" t="str">
        <f>"0161 740 4918"</f>
        <v>0161 740 4918</v>
      </c>
    </row>
    <row r="1664" spans="1:8">
      <c r="A1664" t="s">
        <v>6472</v>
      </c>
      <c r="B1664" t="s">
        <v>6473</v>
      </c>
      <c r="D1664" t="s">
        <v>6474</v>
      </c>
      <c r="E1664" t="s">
        <v>520</v>
      </c>
      <c r="F1664" t="s">
        <v>6475</v>
      </c>
      <c r="G1664" t="s">
        <v>6476</v>
      </c>
      <c r="H1664" t="str">
        <f>"01424434192"</f>
        <v>01424434192</v>
      </c>
    </row>
    <row r="1665" spans="1:8">
      <c r="A1665" t="s">
        <v>6472</v>
      </c>
      <c r="B1665" t="s">
        <v>6477</v>
      </c>
      <c r="D1665" t="s">
        <v>88</v>
      </c>
      <c r="E1665" t="s">
        <v>520</v>
      </c>
      <c r="F1665" t="s">
        <v>6478</v>
      </c>
      <c r="G1665" t="s">
        <v>6476</v>
      </c>
      <c r="H1665" t="str">
        <f>"01323 411020"</f>
        <v>01323 411020</v>
      </c>
    </row>
    <row r="1666" spans="1:8">
      <c r="A1666" t="s">
        <v>6472</v>
      </c>
      <c r="B1666" t="s">
        <v>6479</v>
      </c>
      <c r="D1666" t="s">
        <v>2158</v>
      </c>
      <c r="E1666" t="s">
        <v>520</v>
      </c>
      <c r="F1666" t="s">
        <v>6480</v>
      </c>
      <c r="G1666" t="s">
        <v>6476</v>
      </c>
      <c r="H1666" t="str">
        <f>"01424 772401"</f>
        <v>01424 772401</v>
      </c>
    </row>
    <row r="1667" spans="1:8">
      <c r="A1667" t="s">
        <v>6472</v>
      </c>
      <c r="B1667" t="s">
        <v>6481</v>
      </c>
      <c r="D1667" t="s">
        <v>4166</v>
      </c>
      <c r="E1667" t="s">
        <v>520</v>
      </c>
      <c r="F1667" t="s">
        <v>6482</v>
      </c>
      <c r="G1667" t="s">
        <v>6476</v>
      </c>
      <c r="H1667" t="str">
        <f>"01424 730630"</f>
        <v>01424 730630</v>
      </c>
    </row>
    <row r="1668" spans="1:8">
      <c r="A1668" t="s">
        <v>6483</v>
      </c>
      <c r="B1668" t="s">
        <v>6484</v>
      </c>
      <c r="D1668" t="s">
        <v>6356</v>
      </c>
      <c r="E1668" t="s">
        <v>106</v>
      </c>
      <c r="F1668" t="s">
        <v>6485</v>
      </c>
      <c r="G1668" t="s">
        <v>6486</v>
      </c>
      <c r="H1668" t="str">
        <f>"01746 761000"</f>
        <v>01746 761000</v>
      </c>
    </row>
    <row r="1669" spans="1:8">
      <c r="A1669" t="s">
        <v>6483</v>
      </c>
      <c r="B1669" t="s">
        <v>6487</v>
      </c>
      <c r="D1669" t="s">
        <v>970</v>
      </c>
      <c r="E1669" t="s">
        <v>971</v>
      </c>
      <c r="F1669" t="s">
        <v>6488</v>
      </c>
      <c r="G1669" t="s">
        <v>6486</v>
      </c>
      <c r="H1669" t="str">
        <f>"01432 355572"</f>
        <v>01432 355572</v>
      </c>
    </row>
    <row r="1670" spans="1:8">
      <c r="A1670" t="s">
        <v>6483</v>
      </c>
      <c r="B1670" t="s">
        <v>6489</v>
      </c>
      <c r="D1670" t="s">
        <v>3337</v>
      </c>
      <c r="F1670" t="s">
        <v>3340</v>
      </c>
      <c r="G1670" t="s">
        <v>6486</v>
      </c>
      <c r="H1670" t="str">
        <f>"01873 852535"</f>
        <v>01873 852535</v>
      </c>
    </row>
    <row r="1671" spans="1:8">
      <c r="A1671" t="s">
        <v>6483</v>
      </c>
      <c r="B1671" t="s">
        <v>6490</v>
      </c>
      <c r="C1671" t="s">
        <v>6491</v>
      </c>
      <c r="D1671" t="s">
        <v>6492</v>
      </c>
      <c r="F1671" t="s">
        <v>6493</v>
      </c>
      <c r="G1671" t="s">
        <v>6494</v>
      </c>
      <c r="H1671" t="str">
        <f>"01495 212286"</f>
        <v>01495 212286</v>
      </c>
    </row>
    <row r="1672" spans="1:8">
      <c r="A1672" t="s">
        <v>6495</v>
      </c>
      <c r="B1672" t="s">
        <v>6496</v>
      </c>
      <c r="D1672" t="s">
        <v>741</v>
      </c>
      <c r="E1672" t="s">
        <v>742</v>
      </c>
      <c r="F1672" t="s">
        <v>6497</v>
      </c>
      <c r="G1672" t="s">
        <v>6498</v>
      </c>
      <c r="H1672" t="str">
        <f>"01603 723766"</f>
        <v>01603 723766</v>
      </c>
    </row>
    <row r="1673" spans="1:8">
      <c r="A1673" t="s">
        <v>6495</v>
      </c>
      <c r="B1673" t="s">
        <v>6500</v>
      </c>
      <c r="D1673" t="s">
        <v>6499</v>
      </c>
      <c r="E1673" t="s">
        <v>742</v>
      </c>
      <c r="F1673" t="s">
        <v>6501</v>
      </c>
      <c r="G1673" t="s">
        <v>6498</v>
      </c>
      <c r="H1673" t="str">
        <f>"01953 607724"</f>
        <v>01953 607724</v>
      </c>
    </row>
    <row r="1674" spans="1:8">
      <c r="A1674" t="s">
        <v>6495</v>
      </c>
      <c r="B1674" t="s">
        <v>6502</v>
      </c>
      <c r="D1674" t="s">
        <v>4528</v>
      </c>
      <c r="E1674" t="s">
        <v>1412</v>
      </c>
      <c r="F1674" t="s">
        <v>6503</v>
      </c>
      <c r="G1674" t="s">
        <v>6504</v>
      </c>
      <c r="H1674" t="str">
        <f>"01502 573307"</f>
        <v>01502 573307</v>
      </c>
    </row>
    <row r="1675" spans="1:8">
      <c r="A1675" t="s">
        <v>6505</v>
      </c>
      <c r="B1675" t="s">
        <v>6506</v>
      </c>
      <c r="D1675" t="s">
        <v>1553</v>
      </c>
      <c r="E1675" t="s">
        <v>164</v>
      </c>
      <c r="F1675" t="s">
        <v>6507</v>
      </c>
      <c r="G1675" t="s">
        <v>6508</v>
      </c>
      <c r="H1675" t="str">
        <f>"01202 204543"</f>
        <v>01202 204543</v>
      </c>
    </row>
    <row r="1676" spans="1:8">
      <c r="A1676" t="s">
        <v>6505</v>
      </c>
      <c r="B1676" t="s">
        <v>6509</v>
      </c>
      <c r="D1676" t="s">
        <v>2233</v>
      </c>
      <c r="E1676" t="s">
        <v>164</v>
      </c>
      <c r="F1676" t="s">
        <v>6510</v>
      </c>
      <c r="G1676" t="s">
        <v>6511</v>
      </c>
      <c r="H1676" t="str">
        <f>"01202 484242"</f>
        <v>01202 484242</v>
      </c>
    </row>
    <row r="1677" spans="1:8">
      <c r="A1677" t="s">
        <v>6512</v>
      </c>
      <c r="B1677" t="s">
        <v>6513</v>
      </c>
      <c r="C1677" t="s">
        <v>6514</v>
      </c>
      <c r="D1677" t="s">
        <v>355</v>
      </c>
      <c r="E1677" t="s">
        <v>280</v>
      </c>
      <c r="F1677" t="s">
        <v>6515</v>
      </c>
      <c r="G1677" t="s">
        <v>6516</v>
      </c>
      <c r="H1677" t="str">
        <f>"01132827988"</f>
        <v>01132827988</v>
      </c>
    </row>
    <row r="1678" spans="1:8">
      <c r="A1678" t="s">
        <v>6512</v>
      </c>
      <c r="B1678" t="s">
        <v>6517</v>
      </c>
      <c r="D1678" t="s">
        <v>1341</v>
      </c>
      <c r="E1678" t="s">
        <v>280</v>
      </c>
      <c r="F1678" t="s">
        <v>6518</v>
      </c>
      <c r="G1678" t="s">
        <v>6519</v>
      </c>
      <c r="H1678" t="str">
        <f>"01943 605711"</f>
        <v>01943 605711</v>
      </c>
    </row>
    <row r="1679" spans="1:8">
      <c r="A1679" t="s">
        <v>6512</v>
      </c>
      <c r="B1679" t="s">
        <v>6520</v>
      </c>
      <c r="D1679" t="s">
        <v>6521</v>
      </c>
      <c r="E1679" t="s">
        <v>616</v>
      </c>
      <c r="F1679" t="s">
        <v>6522</v>
      </c>
      <c r="G1679" t="s">
        <v>6523</v>
      </c>
      <c r="H1679" t="str">
        <f>"01757 705191"</f>
        <v>01757 705191</v>
      </c>
    </row>
    <row r="1680" spans="1:8">
      <c r="A1680" t="s">
        <v>6524</v>
      </c>
      <c r="B1680" t="s">
        <v>6525</v>
      </c>
      <c r="D1680" t="s">
        <v>6526</v>
      </c>
      <c r="E1680" t="s">
        <v>1412</v>
      </c>
      <c r="F1680" t="s">
        <v>6527</v>
      </c>
      <c r="G1680" t="s">
        <v>6528</v>
      </c>
      <c r="H1680" t="str">
        <f>"01787880440"</f>
        <v>01787880440</v>
      </c>
    </row>
    <row r="1681" spans="1:8">
      <c r="A1681" t="s">
        <v>6529</v>
      </c>
      <c r="B1681" t="s">
        <v>6530</v>
      </c>
      <c r="D1681" t="s">
        <v>6531</v>
      </c>
      <c r="E1681" t="s">
        <v>775</v>
      </c>
      <c r="F1681" t="s">
        <v>6532</v>
      </c>
      <c r="G1681" t="s">
        <v>6533</v>
      </c>
      <c r="H1681" t="str">
        <f>"01162335522 "</f>
        <v xml:space="preserve">01162335522 </v>
      </c>
    </row>
    <row r="1682" spans="1:8">
      <c r="A1682" t="s">
        <v>6529</v>
      </c>
      <c r="B1682" t="s">
        <v>6534</v>
      </c>
      <c r="C1682" t="s">
        <v>6535</v>
      </c>
      <c r="D1682" t="s">
        <v>774</v>
      </c>
      <c r="E1682" t="s">
        <v>775</v>
      </c>
      <c r="F1682" t="s">
        <v>6536</v>
      </c>
      <c r="G1682" t="s">
        <v>6537</v>
      </c>
      <c r="H1682" t="str">
        <f>"01455 282832"</f>
        <v>01455 282832</v>
      </c>
    </row>
    <row r="1683" spans="1:8">
      <c r="A1683" t="s">
        <v>6538</v>
      </c>
      <c r="B1683" t="s">
        <v>6539</v>
      </c>
      <c r="D1683" t="s">
        <v>5716</v>
      </c>
      <c r="E1683" t="s">
        <v>315</v>
      </c>
      <c r="F1683" t="s">
        <v>6540</v>
      </c>
      <c r="G1683" t="s">
        <v>6541</v>
      </c>
      <c r="H1683" t="str">
        <f>"01925 444422"</f>
        <v>01925 444422</v>
      </c>
    </row>
    <row r="1684" spans="1:8">
      <c r="A1684" t="s">
        <v>6542</v>
      </c>
      <c r="B1684" t="s">
        <v>2467</v>
      </c>
      <c r="D1684" t="s">
        <v>6543</v>
      </c>
      <c r="E1684" t="s">
        <v>67</v>
      </c>
      <c r="F1684" t="s">
        <v>6544</v>
      </c>
      <c r="G1684" t="s">
        <v>6545</v>
      </c>
      <c r="H1684" t="str">
        <f>"01229 580956"</f>
        <v>01229 580956</v>
      </c>
    </row>
    <row r="1685" spans="1:8">
      <c r="A1685" t="s">
        <v>6542</v>
      </c>
      <c r="B1685" t="s">
        <v>6546</v>
      </c>
      <c r="D1685" t="s">
        <v>6017</v>
      </c>
      <c r="E1685" t="s">
        <v>67</v>
      </c>
      <c r="F1685" t="s">
        <v>6547</v>
      </c>
      <c r="G1685" t="s">
        <v>6545</v>
      </c>
      <c r="H1685" t="str">
        <f>"01539 442 255"</f>
        <v>01539 442 255</v>
      </c>
    </row>
    <row r="1686" spans="1:8">
      <c r="A1686" t="s">
        <v>6542</v>
      </c>
      <c r="B1686" t="s">
        <v>6548</v>
      </c>
      <c r="D1686" t="s">
        <v>6549</v>
      </c>
      <c r="E1686" t="s">
        <v>6550</v>
      </c>
      <c r="F1686" t="s">
        <v>6551</v>
      </c>
      <c r="G1686" t="s">
        <v>6545</v>
      </c>
      <c r="H1686" t="str">
        <f>"01539 538288"</f>
        <v>01539 538288</v>
      </c>
    </row>
    <row r="1687" spans="1:8">
      <c r="A1687" t="s">
        <v>6542</v>
      </c>
      <c r="B1687" t="s">
        <v>6552</v>
      </c>
      <c r="D1687" t="s">
        <v>1665</v>
      </c>
      <c r="E1687" t="s">
        <v>67</v>
      </c>
      <c r="F1687" t="s">
        <v>6553</v>
      </c>
      <c r="G1687" t="s">
        <v>6545</v>
      </c>
      <c r="H1687" t="str">
        <f>"01229 808404"</f>
        <v>01229 808404</v>
      </c>
    </row>
    <row r="1688" spans="1:8">
      <c r="A1688" t="s">
        <v>6542</v>
      </c>
      <c r="B1688" t="s">
        <v>6554</v>
      </c>
      <c r="D1688" t="s">
        <v>2018</v>
      </c>
      <c r="F1688" t="s">
        <v>6555</v>
      </c>
      <c r="G1688" t="s">
        <v>6545</v>
      </c>
      <c r="H1688" t="str">
        <f>"01524 889850"</f>
        <v>01524 889850</v>
      </c>
    </row>
    <row r="1689" spans="1:8">
      <c r="A1689" t="s">
        <v>6556</v>
      </c>
      <c r="B1689" t="s">
        <v>6557</v>
      </c>
      <c r="D1689" t="s">
        <v>6558</v>
      </c>
      <c r="E1689" t="s">
        <v>171</v>
      </c>
      <c r="F1689" t="s">
        <v>6559</v>
      </c>
      <c r="G1689" t="s">
        <v>6560</v>
      </c>
      <c r="H1689" t="str">
        <f>"01322 441442"</f>
        <v>01322 441442</v>
      </c>
    </row>
    <row r="1690" spans="1:8">
      <c r="A1690" t="s">
        <v>6556</v>
      </c>
      <c r="B1690" t="s">
        <v>6561</v>
      </c>
      <c r="D1690" t="s">
        <v>4140</v>
      </c>
      <c r="E1690" t="s">
        <v>171</v>
      </c>
      <c r="F1690" t="s">
        <v>6562</v>
      </c>
      <c r="G1690" t="s">
        <v>6560</v>
      </c>
      <c r="H1690" t="str">
        <f>"01634 233331"</f>
        <v>01634 233331</v>
      </c>
    </row>
    <row r="1691" spans="1:8">
      <c r="A1691" t="s">
        <v>6556</v>
      </c>
      <c r="B1691" t="s">
        <v>6564</v>
      </c>
      <c r="C1691" t="s">
        <v>6563</v>
      </c>
      <c r="D1691" t="s">
        <v>5040</v>
      </c>
      <c r="F1691" t="s">
        <v>6565</v>
      </c>
      <c r="G1691" t="s">
        <v>6560</v>
      </c>
      <c r="H1691" t="str">
        <f>"01322 917979"</f>
        <v>01322 917979</v>
      </c>
    </row>
    <row r="1692" spans="1:8">
      <c r="A1692" t="s">
        <v>6556</v>
      </c>
      <c r="B1692" t="s">
        <v>6566</v>
      </c>
      <c r="C1692" t="s">
        <v>6567</v>
      </c>
      <c r="D1692" t="s">
        <v>1394</v>
      </c>
      <c r="F1692" t="s">
        <v>6568</v>
      </c>
      <c r="G1692" t="s">
        <v>6560</v>
      </c>
      <c r="H1692" t="str">
        <f>"01924 942432"</f>
        <v>01924 942432</v>
      </c>
    </row>
    <row r="1693" spans="1:8">
      <c r="A1693" t="s">
        <v>6569</v>
      </c>
      <c r="B1693" t="s">
        <v>6570</v>
      </c>
      <c r="D1693" t="s">
        <v>57</v>
      </c>
      <c r="F1693" t="s">
        <v>6571</v>
      </c>
      <c r="G1693" t="s">
        <v>6572</v>
      </c>
      <c r="H1693" t="str">
        <f>"020 7288 4700"</f>
        <v>020 7288 4700</v>
      </c>
    </row>
    <row r="1694" spans="1:8">
      <c r="A1694" t="s">
        <v>6573</v>
      </c>
      <c r="B1694" t="s">
        <v>6574</v>
      </c>
      <c r="D1694" t="s">
        <v>3337</v>
      </c>
      <c r="F1694" t="s">
        <v>6575</v>
      </c>
      <c r="G1694" t="s">
        <v>6576</v>
      </c>
      <c r="H1694" t="str">
        <f>"01873 857114"</f>
        <v>01873 857114</v>
      </c>
    </row>
    <row r="1695" spans="1:8">
      <c r="A1695" t="s">
        <v>6577</v>
      </c>
      <c r="B1695" t="s">
        <v>6578</v>
      </c>
      <c r="D1695" t="s">
        <v>770</v>
      </c>
      <c r="E1695" t="s">
        <v>132</v>
      </c>
      <c r="F1695" t="s">
        <v>6579</v>
      </c>
      <c r="G1695" t="s">
        <v>6580</v>
      </c>
      <c r="H1695" t="str">
        <f>"0161 764 4062"</f>
        <v>0161 764 4062</v>
      </c>
    </row>
    <row r="1696" spans="1:8">
      <c r="A1696" t="s">
        <v>6577</v>
      </c>
      <c r="B1696" t="s">
        <v>6581</v>
      </c>
      <c r="D1696" t="s">
        <v>649</v>
      </c>
      <c r="E1696" t="s">
        <v>315</v>
      </c>
      <c r="F1696" t="s">
        <v>6582</v>
      </c>
      <c r="G1696" t="s">
        <v>6580</v>
      </c>
      <c r="H1696" t="str">
        <f>"01270 762 521"</f>
        <v>01270 762 521</v>
      </c>
    </row>
    <row r="1697" spans="1:8">
      <c r="A1697" t="s">
        <v>6577</v>
      </c>
      <c r="B1697" t="s">
        <v>6583</v>
      </c>
      <c r="D1697" t="s">
        <v>2311</v>
      </c>
      <c r="E1697" t="s">
        <v>132</v>
      </c>
      <c r="F1697" t="s">
        <v>6584</v>
      </c>
      <c r="G1697" t="s">
        <v>6580</v>
      </c>
      <c r="H1697" t="str">
        <f>"01942 674 144"</f>
        <v>01942 674 144</v>
      </c>
    </row>
    <row r="1698" spans="1:8">
      <c r="A1698" t="s">
        <v>6577</v>
      </c>
      <c r="B1698" t="s">
        <v>6585</v>
      </c>
      <c r="D1698" t="s">
        <v>658</v>
      </c>
      <c r="E1698" t="s">
        <v>315</v>
      </c>
      <c r="F1698" t="s">
        <v>6586</v>
      </c>
      <c r="G1698" t="s">
        <v>6580</v>
      </c>
      <c r="H1698" t="str">
        <f>"01606 47523"</f>
        <v>01606 47523</v>
      </c>
    </row>
    <row r="1699" spans="1:8">
      <c r="A1699" t="s">
        <v>6577</v>
      </c>
      <c r="B1699" t="s">
        <v>6587</v>
      </c>
      <c r="D1699" t="s">
        <v>6375</v>
      </c>
      <c r="E1699" t="s">
        <v>315</v>
      </c>
      <c r="F1699" t="s">
        <v>6588</v>
      </c>
      <c r="G1699" t="s">
        <v>6580</v>
      </c>
      <c r="H1699" t="str">
        <f>"01928 576 056"</f>
        <v>01928 576 056</v>
      </c>
    </row>
    <row r="1700" spans="1:8">
      <c r="A1700" t="s">
        <v>6577</v>
      </c>
      <c r="B1700" t="s">
        <v>6590</v>
      </c>
      <c r="C1700" t="s">
        <v>6589</v>
      </c>
      <c r="D1700" t="s">
        <v>1117</v>
      </c>
      <c r="E1700" t="s">
        <v>315</v>
      </c>
      <c r="F1700" t="s">
        <v>6591</v>
      </c>
      <c r="G1700" t="s">
        <v>6580</v>
      </c>
      <c r="H1700" t="str">
        <f>"0161 439 8228"</f>
        <v>0161 439 8228</v>
      </c>
    </row>
    <row r="1701" spans="1:8">
      <c r="A1701" t="s">
        <v>6577</v>
      </c>
      <c r="B1701" t="s">
        <v>6593</v>
      </c>
      <c r="C1701" t="s">
        <v>6592</v>
      </c>
      <c r="D1701" t="s">
        <v>820</v>
      </c>
      <c r="E1701" t="s">
        <v>821</v>
      </c>
      <c r="F1701" t="s">
        <v>6594</v>
      </c>
      <c r="G1701" t="s">
        <v>6580</v>
      </c>
      <c r="H1701" t="str">
        <f>"01942 883 669"</f>
        <v>01942 883 669</v>
      </c>
    </row>
    <row r="1702" spans="1:8">
      <c r="A1702" t="s">
        <v>6577</v>
      </c>
      <c r="B1702" t="s">
        <v>6595</v>
      </c>
      <c r="D1702" t="s">
        <v>6370</v>
      </c>
      <c r="E1702" t="s">
        <v>315</v>
      </c>
      <c r="F1702" t="s">
        <v>6596</v>
      </c>
      <c r="G1702" t="s">
        <v>6580</v>
      </c>
      <c r="H1702" t="str">
        <f>"01928 733871"</f>
        <v>01928 733871</v>
      </c>
    </row>
    <row r="1703" spans="1:8">
      <c r="A1703" t="s">
        <v>6577</v>
      </c>
      <c r="B1703" t="s">
        <v>6598</v>
      </c>
      <c r="C1703" t="s">
        <v>6597</v>
      </c>
      <c r="D1703" t="s">
        <v>658</v>
      </c>
      <c r="E1703" t="s">
        <v>315</v>
      </c>
      <c r="F1703" t="s">
        <v>6599</v>
      </c>
      <c r="G1703" t="s">
        <v>6580</v>
      </c>
      <c r="H1703" t="str">
        <f>"016063 34309"</f>
        <v>016063 34309</v>
      </c>
    </row>
    <row r="1704" spans="1:8">
      <c r="A1704" t="s">
        <v>6600</v>
      </c>
      <c r="B1704" t="s">
        <v>6601</v>
      </c>
      <c r="D1704" t="s">
        <v>774</v>
      </c>
      <c r="E1704" t="s">
        <v>775</v>
      </c>
      <c r="F1704" t="s">
        <v>6602</v>
      </c>
      <c r="G1704" t="s">
        <v>6603</v>
      </c>
      <c r="H1704" t="str">
        <f>"0116 2541609 "</f>
        <v xml:space="preserve">0116 2541609 </v>
      </c>
    </row>
    <row r="1705" spans="1:8">
      <c r="A1705" t="s">
        <v>6577</v>
      </c>
      <c r="B1705" t="s">
        <v>6604</v>
      </c>
      <c r="C1705" t="s">
        <v>6605</v>
      </c>
      <c r="D1705" t="s">
        <v>6606</v>
      </c>
      <c r="E1705" t="s">
        <v>315</v>
      </c>
      <c r="F1705" t="s">
        <v>6607</v>
      </c>
      <c r="G1705" t="s">
        <v>6608</v>
      </c>
      <c r="H1705" t="str">
        <f>"01928 247599"</f>
        <v>01928 247599</v>
      </c>
    </row>
    <row r="1706" spans="1:8">
      <c r="A1706" t="s">
        <v>6577</v>
      </c>
      <c r="B1706" t="s">
        <v>6609</v>
      </c>
      <c r="D1706" t="s">
        <v>2311</v>
      </c>
      <c r="F1706" t="s">
        <v>6610</v>
      </c>
      <c r="G1706" t="s">
        <v>6608</v>
      </c>
      <c r="H1706" t="str">
        <f>"01942 604 135"</f>
        <v>01942 604 135</v>
      </c>
    </row>
    <row r="1707" spans="1:8">
      <c r="A1707" t="s">
        <v>6577</v>
      </c>
      <c r="B1707" t="s">
        <v>6611</v>
      </c>
      <c r="C1707" t="s">
        <v>6612</v>
      </c>
      <c r="D1707" t="s">
        <v>6613</v>
      </c>
      <c r="F1707" t="s">
        <v>6614</v>
      </c>
      <c r="G1707" t="s">
        <v>6608</v>
      </c>
      <c r="H1707" t="str">
        <f>"01782 526298"</f>
        <v>01782 526298</v>
      </c>
    </row>
    <row r="1708" spans="1:8">
      <c r="A1708" t="s">
        <v>6615</v>
      </c>
      <c r="B1708" t="s">
        <v>6616</v>
      </c>
      <c r="C1708" t="s">
        <v>6617</v>
      </c>
      <c r="D1708" t="s">
        <v>57</v>
      </c>
      <c r="F1708" t="s">
        <v>6618</v>
      </c>
      <c r="G1708" t="s">
        <v>6619</v>
      </c>
      <c r="H1708" t="str">
        <f>"0208 993 7571"</f>
        <v>0208 993 7571</v>
      </c>
    </row>
    <row r="1709" spans="1:8">
      <c r="A1709" t="s">
        <v>6620</v>
      </c>
      <c r="B1709" t="s">
        <v>6621</v>
      </c>
      <c r="D1709" t="s">
        <v>2772</v>
      </c>
      <c r="E1709" t="s">
        <v>132</v>
      </c>
      <c r="F1709" t="s">
        <v>6622</v>
      </c>
      <c r="G1709" t="s">
        <v>6623</v>
      </c>
      <c r="H1709" t="str">
        <f>"01254 261515"</f>
        <v>01254 261515</v>
      </c>
    </row>
    <row r="1710" spans="1:8">
      <c r="A1710" t="s">
        <v>6620</v>
      </c>
      <c r="B1710" t="s">
        <v>6624</v>
      </c>
      <c r="D1710" t="s">
        <v>674</v>
      </c>
      <c r="F1710" t="s">
        <v>6625</v>
      </c>
      <c r="G1710" t="s">
        <v>6623</v>
      </c>
      <c r="H1710" t="str">
        <f>"01274 722199"</f>
        <v>01274 722199</v>
      </c>
    </row>
    <row r="1711" spans="1:8">
      <c r="A1711" t="s">
        <v>6626</v>
      </c>
      <c r="B1711" t="s">
        <v>6627</v>
      </c>
      <c r="D1711" t="s">
        <v>6628</v>
      </c>
      <c r="E1711" t="s">
        <v>2281</v>
      </c>
      <c r="F1711" t="s">
        <v>6629</v>
      </c>
      <c r="G1711" t="s">
        <v>6630</v>
      </c>
      <c r="H1711" t="str">
        <f>"01579 345304"</f>
        <v>01579 345304</v>
      </c>
    </row>
    <row r="1712" spans="1:8">
      <c r="A1712" t="s">
        <v>6626</v>
      </c>
      <c r="B1712" t="s">
        <v>6631</v>
      </c>
      <c r="D1712" t="s">
        <v>6632</v>
      </c>
      <c r="E1712" t="s">
        <v>2281</v>
      </c>
      <c r="F1712" t="s">
        <v>6633</v>
      </c>
      <c r="G1712" t="s">
        <v>6634</v>
      </c>
      <c r="H1712" t="str">
        <f>"01503 265884"</f>
        <v>01503 265884</v>
      </c>
    </row>
    <row r="1713" spans="1:8">
      <c r="A1713" t="s">
        <v>6626</v>
      </c>
      <c r="B1713" t="s">
        <v>6635</v>
      </c>
      <c r="D1713" t="s">
        <v>6636</v>
      </c>
      <c r="E1713" t="s">
        <v>2281</v>
      </c>
      <c r="F1713" t="s">
        <v>6637</v>
      </c>
      <c r="G1713" t="s">
        <v>6634</v>
      </c>
      <c r="H1713" t="str">
        <f>"01579 382030"</f>
        <v>01579 382030</v>
      </c>
    </row>
    <row r="1714" spans="1:8">
      <c r="A1714" t="s">
        <v>6638</v>
      </c>
      <c r="B1714" t="s">
        <v>6639</v>
      </c>
      <c r="C1714" t="s">
        <v>6640</v>
      </c>
      <c r="D1714" t="s">
        <v>3407</v>
      </c>
      <c r="E1714" t="s">
        <v>315</v>
      </c>
      <c r="F1714" t="s">
        <v>6641</v>
      </c>
      <c r="G1714" t="s">
        <v>6642</v>
      </c>
      <c r="H1714" t="str">
        <f>"0161 980 6099"</f>
        <v>0161 980 6099</v>
      </c>
    </row>
    <row r="1715" spans="1:8">
      <c r="A1715" t="s">
        <v>6643</v>
      </c>
      <c r="B1715" t="s">
        <v>6644</v>
      </c>
      <c r="C1715" t="s">
        <v>6645</v>
      </c>
      <c r="D1715" t="s">
        <v>6646</v>
      </c>
      <c r="E1715" t="s">
        <v>893</v>
      </c>
      <c r="F1715" t="s">
        <v>6647</v>
      </c>
      <c r="G1715" t="s">
        <v>6648</v>
      </c>
      <c r="H1715" t="str">
        <f>"01513461375"</f>
        <v>01513461375</v>
      </c>
    </row>
    <row r="1716" spans="1:8">
      <c r="A1716" t="s">
        <v>6649</v>
      </c>
      <c r="B1716" t="s">
        <v>1231</v>
      </c>
      <c r="C1716" t="s">
        <v>6650</v>
      </c>
      <c r="D1716" t="s">
        <v>4423</v>
      </c>
      <c r="E1716" t="s">
        <v>3932</v>
      </c>
      <c r="F1716" t="s">
        <v>6651</v>
      </c>
      <c r="G1716" t="s">
        <v>6652</v>
      </c>
      <c r="H1716" t="str">
        <f>"01244 822101"</f>
        <v>01244 822101</v>
      </c>
    </row>
    <row r="1717" spans="1:8">
      <c r="A1717" t="s">
        <v>6653</v>
      </c>
      <c r="B1717" t="s">
        <v>6654</v>
      </c>
      <c r="D1717" t="s">
        <v>1715</v>
      </c>
      <c r="E1717" t="s">
        <v>132</v>
      </c>
      <c r="F1717" t="s">
        <v>6655</v>
      </c>
      <c r="G1717" t="s">
        <v>6656</v>
      </c>
      <c r="H1717" t="str">
        <f>"01282 433241"</f>
        <v>01282 433241</v>
      </c>
    </row>
    <row r="1718" spans="1:8">
      <c r="A1718" t="s">
        <v>6653</v>
      </c>
      <c r="B1718" t="s">
        <v>6657</v>
      </c>
      <c r="D1718" t="s">
        <v>6658</v>
      </c>
      <c r="E1718" t="s">
        <v>132</v>
      </c>
      <c r="F1718" t="s">
        <v>6659</v>
      </c>
      <c r="G1718" t="s">
        <v>6660</v>
      </c>
      <c r="H1718" t="str">
        <f>"01282 864500"</f>
        <v>01282 864500</v>
      </c>
    </row>
    <row r="1719" spans="1:8">
      <c r="A1719" t="s">
        <v>6661</v>
      </c>
      <c r="B1719" t="s">
        <v>6662</v>
      </c>
      <c r="D1719" t="s">
        <v>6663</v>
      </c>
      <c r="E1719" t="s">
        <v>1561</v>
      </c>
      <c r="F1719" t="s">
        <v>6664</v>
      </c>
      <c r="G1719" t="s">
        <v>6665</v>
      </c>
      <c r="H1719" t="str">
        <f>"01425 621515"</f>
        <v>01425 621515</v>
      </c>
    </row>
    <row r="1720" spans="1:8">
      <c r="A1720" t="s">
        <v>6661</v>
      </c>
      <c r="B1720" t="s">
        <v>6667</v>
      </c>
      <c r="D1720" t="s">
        <v>6666</v>
      </c>
      <c r="E1720" t="s">
        <v>1557</v>
      </c>
      <c r="F1720" t="s">
        <v>6668</v>
      </c>
      <c r="G1720" t="s">
        <v>6665</v>
      </c>
      <c r="H1720" t="str">
        <f>"01425 279222"</f>
        <v>01425 279222</v>
      </c>
    </row>
    <row r="1721" spans="1:8">
      <c r="A1721" t="s">
        <v>6669</v>
      </c>
      <c r="B1721" t="s">
        <v>6670</v>
      </c>
      <c r="D1721" t="s">
        <v>2494</v>
      </c>
      <c r="F1721" t="s">
        <v>6671</v>
      </c>
      <c r="G1721" t="s">
        <v>6672</v>
      </c>
      <c r="H1721" t="str">
        <f>"0161 785 3500"</f>
        <v>0161 785 3500</v>
      </c>
    </row>
    <row r="1722" spans="1:8">
      <c r="A1722" t="s">
        <v>6669</v>
      </c>
      <c r="B1722" t="s">
        <v>6673</v>
      </c>
      <c r="C1722" t="s">
        <v>6674</v>
      </c>
      <c r="D1722" t="s">
        <v>2494</v>
      </c>
      <c r="F1722" t="s">
        <v>6675</v>
      </c>
      <c r="G1722" t="s">
        <v>6672</v>
      </c>
      <c r="H1722" t="str">
        <f>"0161 785 3500"</f>
        <v>0161 785 3500</v>
      </c>
    </row>
    <row r="1723" spans="1:8">
      <c r="A1723" t="s">
        <v>6676</v>
      </c>
      <c r="B1723" t="s">
        <v>6677</v>
      </c>
      <c r="D1723" t="s">
        <v>3944</v>
      </c>
      <c r="E1723" t="s">
        <v>309</v>
      </c>
      <c r="F1723" t="s">
        <v>6678</v>
      </c>
      <c r="G1723" t="s">
        <v>6679</v>
      </c>
      <c r="H1723" t="str">
        <f>"01271 343457"</f>
        <v>01271 343457</v>
      </c>
    </row>
    <row r="1724" spans="1:8">
      <c r="A1724" t="s">
        <v>6676</v>
      </c>
      <c r="B1724" t="s">
        <v>6680</v>
      </c>
      <c r="C1724" t="s">
        <v>6681</v>
      </c>
      <c r="D1724" t="s">
        <v>1511</v>
      </c>
      <c r="E1724" t="s">
        <v>309</v>
      </c>
      <c r="F1724" t="s">
        <v>6682</v>
      </c>
      <c r="G1724" t="s">
        <v>6683</v>
      </c>
      <c r="H1724" t="str">
        <f>"01548 851303"</f>
        <v>01548 851303</v>
      </c>
    </row>
    <row r="1725" spans="1:8">
      <c r="A1725" t="s">
        <v>6676</v>
      </c>
      <c r="B1725" t="s">
        <v>6684</v>
      </c>
      <c r="D1725" t="s">
        <v>2178</v>
      </c>
      <c r="F1725" t="s">
        <v>6685</v>
      </c>
      <c r="G1725" t="s">
        <v>6683</v>
      </c>
      <c r="H1725" t="str">
        <f>"0191 622 1998"</f>
        <v>0191 622 1998</v>
      </c>
    </row>
    <row r="1726" spans="1:8">
      <c r="A1726" t="s">
        <v>6686</v>
      </c>
      <c r="B1726" t="s">
        <v>6687</v>
      </c>
      <c r="D1726" t="s">
        <v>3460</v>
      </c>
      <c r="E1726" t="s">
        <v>132</v>
      </c>
      <c r="F1726" t="s">
        <v>6688</v>
      </c>
      <c r="G1726" t="s">
        <v>6689</v>
      </c>
      <c r="H1726" t="str">
        <f>"01253 771664"</f>
        <v>01253 771664</v>
      </c>
    </row>
    <row r="1727" spans="1:8">
      <c r="A1727" t="s">
        <v>6690</v>
      </c>
      <c r="B1727" t="s">
        <v>6691</v>
      </c>
      <c r="C1727" t="s">
        <v>6692</v>
      </c>
      <c r="D1727" t="s">
        <v>420</v>
      </c>
      <c r="E1727" t="s">
        <v>132</v>
      </c>
      <c r="F1727" t="s">
        <v>6693</v>
      </c>
      <c r="G1727" t="s">
        <v>6694</v>
      </c>
      <c r="H1727" t="str">
        <f>"01772 258321"</f>
        <v>01772 258321</v>
      </c>
    </row>
    <row r="1728" spans="1:8">
      <c r="A1728" t="s">
        <v>6690</v>
      </c>
      <c r="B1728" t="s">
        <v>6696</v>
      </c>
      <c r="C1728" t="s">
        <v>6695</v>
      </c>
      <c r="D1728" t="s">
        <v>420</v>
      </c>
      <c r="E1728" t="s">
        <v>132</v>
      </c>
      <c r="F1728" t="s">
        <v>6697</v>
      </c>
      <c r="G1728" t="s">
        <v>6698</v>
      </c>
      <c r="H1728" t="str">
        <f>"01995 607950"</f>
        <v>01995 607950</v>
      </c>
    </row>
    <row r="1729" spans="1:8">
      <c r="A1729" t="s">
        <v>6690</v>
      </c>
      <c r="B1729" t="s">
        <v>6699</v>
      </c>
      <c r="C1729" t="s">
        <v>6700</v>
      </c>
      <c r="D1729" t="s">
        <v>3698</v>
      </c>
      <c r="E1729" t="s">
        <v>67</v>
      </c>
      <c r="F1729" t="s">
        <v>6701</v>
      </c>
      <c r="G1729" t="s">
        <v>6698</v>
      </c>
      <c r="H1729" t="str">
        <f>"01539 628042"</f>
        <v>01539 628042</v>
      </c>
    </row>
    <row r="1730" spans="1:8">
      <c r="A1730" t="s">
        <v>6690</v>
      </c>
      <c r="B1730" t="s">
        <v>6702</v>
      </c>
      <c r="D1730" t="s">
        <v>2018</v>
      </c>
      <c r="E1730" t="s">
        <v>132</v>
      </c>
      <c r="F1730" t="s">
        <v>6703</v>
      </c>
      <c r="G1730" t="s">
        <v>6698</v>
      </c>
      <c r="H1730" t="str">
        <f>"01524 548967"</f>
        <v>01524 548967</v>
      </c>
    </row>
    <row r="1731" spans="1:8">
      <c r="A1731" t="s">
        <v>6690</v>
      </c>
      <c r="B1731" t="s">
        <v>6704</v>
      </c>
      <c r="D1731" t="s">
        <v>2794</v>
      </c>
      <c r="E1731" t="s">
        <v>821</v>
      </c>
      <c r="F1731" t="s">
        <v>6705</v>
      </c>
      <c r="G1731" t="s">
        <v>6706</v>
      </c>
      <c r="H1731" t="str">
        <f>"01200 422264"</f>
        <v>01200 422264</v>
      </c>
    </row>
    <row r="1732" spans="1:8">
      <c r="A1732" t="s">
        <v>6690</v>
      </c>
      <c r="B1732" t="s">
        <v>6708</v>
      </c>
      <c r="C1732" t="s">
        <v>6709</v>
      </c>
      <c r="D1732" t="s">
        <v>6707</v>
      </c>
      <c r="E1732" t="s">
        <v>132</v>
      </c>
      <c r="F1732" t="s">
        <v>6710</v>
      </c>
      <c r="G1732" t="s">
        <v>6711</v>
      </c>
      <c r="H1732" t="str">
        <f>"01253 742300"</f>
        <v>01253 742300</v>
      </c>
    </row>
    <row r="1733" spans="1:8">
      <c r="A1733" t="s">
        <v>6690</v>
      </c>
      <c r="B1733" t="s">
        <v>6712</v>
      </c>
      <c r="C1733" t="s">
        <v>6713</v>
      </c>
      <c r="D1733" t="s">
        <v>297</v>
      </c>
      <c r="F1733" t="s">
        <v>6714</v>
      </c>
      <c r="G1733" t="s">
        <v>6698</v>
      </c>
      <c r="H1733" t="str">
        <f>"0161 513 8181"</f>
        <v>0161 513 8181</v>
      </c>
    </row>
    <row r="1734" spans="1:8">
      <c r="A1734" t="s">
        <v>6715</v>
      </c>
      <c r="B1734" t="s">
        <v>6716</v>
      </c>
      <c r="D1734" t="s">
        <v>2080</v>
      </c>
      <c r="F1734" t="s">
        <v>6717</v>
      </c>
      <c r="G1734" t="s">
        <v>6718</v>
      </c>
      <c r="H1734" t="str">
        <f>"01438 314281"</f>
        <v>01438 314281</v>
      </c>
    </row>
    <row r="1735" spans="1:8">
      <c r="A1735" t="s">
        <v>6719</v>
      </c>
      <c r="B1735" t="s">
        <v>6720</v>
      </c>
      <c r="D1735" t="s">
        <v>6721</v>
      </c>
      <c r="E1735" t="s">
        <v>236</v>
      </c>
      <c r="F1735" t="s">
        <v>6722</v>
      </c>
      <c r="G1735" t="s">
        <v>6723</v>
      </c>
      <c r="H1735" t="str">
        <f>"01782619225"</f>
        <v>01782619225</v>
      </c>
    </row>
    <row r="1736" spans="1:8">
      <c r="A1736" t="s">
        <v>6719</v>
      </c>
      <c r="B1736" t="s">
        <v>6724</v>
      </c>
      <c r="D1736" t="s">
        <v>440</v>
      </c>
      <c r="E1736" t="s">
        <v>315</v>
      </c>
      <c r="F1736" t="s">
        <v>6725</v>
      </c>
      <c r="G1736" t="s">
        <v>6723</v>
      </c>
      <c r="H1736" t="str">
        <f>"01244896600"</f>
        <v>01244896600</v>
      </c>
    </row>
    <row r="1737" spans="1:8">
      <c r="A1737" t="s">
        <v>6719</v>
      </c>
      <c r="B1737" t="s">
        <v>6726</v>
      </c>
      <c r="C1737" t="s">
        <v>6727</v>
      </c>
      <c r="D1737" t="s">
        <v>654</v>
      </c>
      <c r="E1737" t="s">
        <v>315</v>
      </c>
      <c r="F1737" t="s">
        <v>6728</v>
      </c>
      <c r="G1737" t="s">
        <v>6723</v>
      </c>
      <c r="H1737" t="str">
        <f>"01625 704090"</f>
        <v>01625 704090</v>
      </c>
    </row>
    <row r="1738" spans="1:8">
      <c r="A1738" t="s">
        <v>6719</v>
      </c>
      <c r="B1738" t="s">
        <v>6729</v>
      </c>
      <c r="C1738" t="s">
        <v>6730</v>
      </c>
      <c r="D1738" t="s">
        <v>6434</v>
      </c>
      <c r="E1738" t="s">
        <v>760</v>
      </c>
      <c r="F1738" t="s">
        <v>6731</v>
      </c>
      <c r="G1738" t="s">
        <v>6723</v>
      </c>
      <c r="H1738" t="str">
        <f>"01865 811700"</f>
        <v>01865 811700</v>
      </c>
    </row>
    <row r="1739" spans="1:8">
      <c r="A1739" t="s">
        <v>6719</v>
      </c>
      <c r="B1739" t="s">
        <v>6732</v>
      </c>
      <c r="C1739" t="s">
        <v>6733</v>
      </c>
      <c r="D1739" t="s">
        <v>6734</v>
      </c>
      <c r="E1739" t="s">
        <v>6735</v>
      </c>
      <c r="F1739" t="s">
        <v>6736</v>
      </c>
      <c r="G1739" t="s">
        <v>6723</v>
      </c>
      <c r="H1739" t="str">
        <f>"01242 524848 "</f>
        <v xml:space="preserve">01242 524848 </v>
      </c>
    </row>
    <row r="1740" spans="1:8">
      <c r="A1740" t="s">
        <v>6719</v>
      </c>
      <c r="B1740" t="s">
        <v>6737</v>
      </c>
      <c r="D1740" t="s">
        <v>774</v>
      </c>
      <c r="F1740" t="s">
        <v>6738</v>
      </c>
      <c r="G1740" t="s">
        <v>6723</v>
      </c>
      <c r="H1740" t="str">
        <f>"01162 624225 "</f>
        <v xml:space="preserve">01162 624225 </v>
      </c>
    </row>
    <row r="1741" spans="1:8">
      <c r="A1741" t="s">
        <v>6719</v>
      </c>
      <c r="B1741" t="s">
        <v>6739</v>
      </c>
      <c r="C1741" t="s">
        <v>6740</v>
      </c>
      <c r="D1741" t="s">
        <v>615</v>
      </c>
      <c r="E1741" t="s">
        <v>616</v>
      </c>
      <c r="F1741" t="s">
        <v>6741</v>
      </c>
      <c r="G1741" t="s">
        <v>6723</v>
      </c>
      <c r="H1741" t="str">
        <f>"01904 949200"</f>
        <v>01904 949200</v>
      </c>
    </row>
    <row r="1742" spans="1:8">
      <c r="A1742" t="s">
        <v>6719</v>
      </c>
      <c r="B1742" t="s">
        <v>6742</v>
      </c>
      <c r="D1742" t="s">
        <v>297</v>
      </c>
      <c r="F1742" t="s">
        <v>6743</v>
      </c>
      <c r="G1742" t="s">
        <v>6723</v>
      </c>
      <c r="H1742" t="str">
        <f>"0161 833 1212"</f>
        <v>0161 833 1212</v>
      </c>
    </row>
    <row r="1743" spans="1:8">
      <c r="A1743" t="s">
        <v>6719</v>
      </c>
      <c r="B1743" t="s">
        <v>6744</v>
      </c>
      <c r="D1743" t="s">
        <v>14</v>
      </c>
      <c r="E1743" t="s">
        <v>16</v>
      </c>
      <c r="F1743" t="s">
        <v>6745</v>
      </c>
      <c r="G1743" t="s">
        <v>6723</v>
      </c>
      <c r="H1743" t="str">
        <f>"0121 314 0000"</f>
        <v>0121 314 0000</v>
      </c>
    </row>
    <row r="1744" spans="1:8">
      <c r="A1744" t="s">
        <v>6719</v>
      </c>
      <c r="B1744" t="s">
        <v>6746</v>
      </c>
      <c r="D1744" t="s">
        <v>409</v>
      </c>
      <c r="F1744" t="s">
        <v>6747</v>
      </c>
      <c r="G1744" t="s">
        <v>6723</v>
      </c>
      <c r="H1744" t="str">
        <f>"01159 888777"</f>
        <v>01159 888777</v>
      </c>
    </row>
    <row r="1745" spans="1:8">
      <c r="A1745" t="s">
        <v>6719</v>
      </c>
      <c r="B1745" t="s">
        <v>6748</v>
      </c>
      <c r="D1745" t="s">
        <v>6749</v>
      </c>
      <c r="E1745" t="s">
        <v>6750</v>
      </c>
      <c r="F1745" t="s">
        <v>6751</v>
      </c>
      <c r="G1745" t="s">
        <v>6723</v>
      </c>
      <c r="H1745" t="str">
        <f>"01622 656500"</f>
        <v>01622 656500</v>
      </c>
    </row>
    <row r="1746" spans="1:8">
      <c r="A1746" t="s">
        <v>6719</v>
      </c>
      <c r="B1746" t="s">
        <v>6752</v>
      </c>
      <c r="C1746" t="s">
        <v>6753</v>
      </c>
      <c r="D1746" t="s">
        <v>549</v>
      </c>
      <c r="F1746" t="s">
        <v>6754</v>
      </c>
      <c r="G1746" t="s">
        <v>6723</v>
      </c>
      <c r="H1746" t="str">
        <f>"01392 823811"</f>
        <v>01392 823811</v>
      </c>
    </row>
    <row r="1747" spans="1:8">
      <c r="A1747" t="s">
        <v>6719</v>
      </c>
      <c r="B1747" t="s">
        <v>6755</v>
      </c>
      <c r="D1747" t="s">
        <v>2299</v>
      </c>
      <c r="F1747" t="s">
        <v>6756</v>
      </c>
      <c r="G1747" t="s">
        <v>6723</v>
      </c>
      <c r="H1747" t="str">
        <f>"01932 590500"</f>
        <v>01932 590500</v>
      </c>
    </row>
    <row r="1748" spans="1:8">
      <c r="A1748" t="s">
        <v>6719</v>
      </c>
      <c r="B1748" t="s">
        <v>6757</v>
      </c>
      <c r="D1748" t="s">
        <v>1024</v>
      </c>
      <c r="F1748" t="s">
        <v>6758</v>
      </c>
      <c r="G1748" t="s">
        <v>6723</v>
      </c>
      <c r="H1748" t="str">
        <f>"0114 276 555"</f>
        <v>0114 276 555</v>
      </c>
    </row>
    <row r="1749" spans="1:8">
      <c r="A1749" t="s">
        <v>6719</v>
      </c>
      <c r="B1749" t="s">
        <v>6759</v>
      </c>
      <c r="D1749" t="s">
        <v>355</v>
      </c>
      <c r="F1749" t="s">
        <v>6760</v>
      </c>
      <c r="G1749" t="s">
        <v>6723</v>
      </c>
      <c r="H1749" t="str">
        <f>"0113 245 2833"</f>
        <v>0113 245 2833</v>
      </c>
    </row>
    <row r="1750" spans="1:8">
      <c r="A1750" t="s">
        <v>6719</v>
      </c>
      <c r="B1750" t="s">
        <v>6761</v>
      </c>
      <c r="D1750" t="s">
        <v>669</v>
      </c>
      <c r="F1750" t="s">
        <v>6762</v>
      </c>
      <c r="G1750" t="s">
        <v>6723</v>
      </c>
      <c r="H1750" t="str">
        <f>"01642 636500 "</f>
        <v xml:space="preserve">01642 636500 </v>
      </c>
    </row>
    <row r="1751" spans="1:8">
      <c r="A1751" t="s">
        <v>6719</v>
      </c>
      <c r="B1751" t="s">
        <v>2040</v>
      </c>
      <c r="D1751" t="s">
        <v>291</v>
      </c>
      <c r="F1751" t="s">
        <v>2041</v>
      </c>
      <c r="G1751" t="s">
        <v>6723</v>
      </c>
      <c r="H1751" t="str">
        <f>"01522 888 555"</f>
        <v>01522 888 555</v>
      </c>
    </row>
    <row r="1752" spans="1:8">
      <c r="A1752" t="s">
        <v>6719</v>
      </c>
      <c r="B1752" t="s">
        <v>6763</v>
      </c>
      <c r="C1752" t="s">
        <v>6764</v>
      </c>
      <c r="D1752" t="s">
        <v>6765</v>
      </c>
      <c r="E1752" t="s">
        <v>1893</v>
      </c>
      <c r="F1752" t="s">
        <v>6766</v>
      </c>
      <c r="G1752" t="s">
        <v>6723</v>
      </c>
      <c r="H1752" t="str">
        <f>"023 9238 8021"</f>
        <v>023 9238 8021</v>
      </c>
    </row>
    <row r="1753" spans="1:8">
      <c r="A1753" t="s">
        <v>6767</v>
      </c>
      <c r="B1753" t="s">
        <v>6768</v>
      </c>
      <c r="D1753" t="s">
        <v>409</v>
      </c>
      <c r="E1753" t="s">
        <v>410</v>
      </c>
      <c r="F1753" t="s">
        <v>6769</v>
      </c>
      <c r="G1753" t="s">
        <v>6770</v>
      </c>
      <c r="H1753" t="str">
        <f>"01159833650"</f>
        <v>01159833650</v>
      </c>
    </row>
    <row r="1754" spans="1:8">
      <c r="A1754" t="s">
        <v>6767</v>
      </c>
      <c r="B1754" t="s">
        <v>6771</v>
      </c>
      <c r="C1754" t="s">
        <v>6772</v>
      </c>
      <c r="D1754" t="s">
        <v>303</v>
      </c>
      <c r="E1754" t="s">
        <v>1358</v>
      </c>
      <c r="F1754" t="s">
        <v>6773</v>
      </c>
      <c r="G1754" t="s">
        <v>6770</v>
      </c>
      <c r="H1754" t="str">
        <f>"02920238239"</f>
        <v>02920238239</v>
      </c>
    </row>
    <row r="1755" spans="1:8">
      <c r="A1755" t="s">
        <v>6767</v>
      </c>
      <c r="B1755" t="s">
        <v>6774</v>
      </c>
      <c r="D1755" t="s">
        <v>5134</v>
      </c>
      <c r="E1755" t="s">
        <v>6775</v>
      </c>
      <c r="F1755" t="s">
        <v>6776</v>
      </c>
      <c r="G1755" t="s">
        <v>6777</v>
      </c>
      <c r="H1755" t="str">
        <f>"01332 331 631"</f>
        <v>01332 331 631</v>
      </c>
    </row>
    <row r="1756" spans="1:8">
      <c r="A1756" t="s">
        <v>6719</v>
      </c>
      <c r="B1756" t="s">
        <v>6778</v>
      </c>
      <c r="D1756" t="s">
        <v>76</v>
      </c>
      <c r="F1756" t="s">
        <v>6779</v>
      </c>
      <c r="G1756" t="s">
        <v>6723</v>
      </c>
      <c r="H1756" t="str">
        <f>"01273 069 999"</f>
        <v>01273 069 999</v>
      </c>
    </row>
    <row r="1757" spans="1:8">
      <c r="A1757" t="s">
        <v>6719</v>
      </c>
      <c r="B1757" t="s">
        <v>6780</v>
      </c>
      <c r="D1757" t="s">
        <v>6781</v>
      </c>
      <c r="E1757" t="s">
        <v>61</v>
      </c>
      <c r="F1757" t="s">
        <v>2544</v>
      </c>
      <c r="G1757" t="s">
        <v>6723</v>
      </c>
      <c r="H1757" t="str">
        <f>"0117 926 4121"</f>
        <v>0117 926 4121</v>
      </c>
    </row>
    <row r="1758" spans="1:8">
      <c r="A1758" t="s">
        <v>6719</v>
      </c>
      <c r="B1758" t="s">
        <v>6782</v>
      </c>
      <c r="C1758" t="s">
        <v>6783</v>
      </c>
      <c r="D1758" t="s">
        <v>70</v>
      </c>
      <c r="F1758" t="s">
        <v>6784</v>
      </c>
      <c r="G1758" t="s">
        <v>6723</v>
      </c>
      <c r="H1758" t="str">
        <f>"0122 855 2600"</f>
        <v>0122 855 2600</v>
      </c>
    </row>
    <row r="1759" spans="1:8">
      <c r="A1759" t="s">
        <v>6719</v>
      </c>
      <c r="B1759" t="s">
        <v>6785</v>
      </c>
      <c r="D1759" t="s">
        <v>1463</v>
      </c>
      <c r="F1759" t="s">
        <v>6786</v>
      </c>
      <c r="G1759" t="s">
        <v>6723</v>
      </c>
      <c r="H1759" t="str">
        <f>"0191 466 1000"</f>
        <v>0191 466 1000</v>
      </c>
    </row>
    <row r="1760" spans="1:8">
      <c r="A1760" t="s">
        <v>6719</v>
      </c>
      <c r="B1760" t="s">
        <v>6787</v>
      </c>
      <c r="D1760" t="s">
        <v>3194</v>
      </c>
      <c r="F1760" t="s">
        <v>4588</v>
      </c>
      <c r="G1760" t="s">
        <v>6723</v>
      </c>
      <c r="H1760" t="str">
        <f>"0121 624 4000"</f>
        <v>0121 624 4000</v>
      </c>
    </row>
    <row r="1761" spans="1:8">
      <c r="A1761" t="s">
        <v>6719</v>
      </c>
      <c r="B1761" t="s">
        <v>6788</v>
      </c>
      <c r="D1761" t="s">
        <v>20</v>
      </c>
      <c r="F1761" t="s">
        <v>6789</v>
      </c>
      <c r="G1761" t="s">
        <v>6723</v>
      </c>
      <c r="H1761" t="str">
        <f>"01905 730 450"</f>
        <v>01905 730 450</v>
      </c>
    </row>
    <row r="1762" spans="1:8">
      <c r="A1762" t="s">
        <v>6719</v>
      </c>
      <c r="B1762" t="s">
        <v>6791</v>
      </c>
      <c r="D1762" t="s">
        <v>6790</v>
      </c>
      <c r="F1762" t="s">
        <v>6792</v>
      </c>
      <c r="G1762" t="s">
        <v>6723</v>
      </c>
      <c r="H1762" t="str">
        <f>"01494 790 000"</f>
        <v>01494 790 000</v>
      </c>
    </row>
    <row r="1763" spans="1:8">
      <c r="A1763" t="s">
        <v>6719</v>
      </c>
      <c r="B1763" t="s">
        <v>6793</v>
      </c>
      <c r="D1763" t="s">
        <v>152</v>
      </c>
      <c r="F1763" t="s">
        <v>6794</v>
      </c>
      <c r="G1763" t="s">
        <v>6723</v>
      </c>
      <c r="H1763" t="str">
        <f>"0118 338 2200"</f>
        <v>0118 338 2200</v>
      </c>
    </row>
    <row r="1764" spans="1:8">
      <c r="A1764" t="s">
        <v>6719</v>
      </c>
      <c r="B1764" t="s">
        <v>6795</v>
      </c>
      <c r="D1764" t="s">
        <v>3211</v>
      </c>
      <c r="F1764" t="s">
        <v>6796</v>
      </c>
      <c r="G1764" t="s">
        <v>6723</v>
      </c>
      <c r="H1764" t="str">
        <f>"01895 207 287"</f>
        <v>01895 207 287</v>
      </c>
    </row>
    <row r="1765" spans="1:8">
      <c r="A1765" t="s">
        <v>6719</v>
      </c>
      <c r="B1765" t="s">
        <v>6797</v>
      </c>
      <c r="D1765" t="s">
        <v>1443</v>
      </c>
      <c r="F1765" t="s">
        <v>6798</v>
      </c>
      <c r="G1765" t="s">
        <v>6723</v>
      </c>
      <c r="H1765" t="str">
        <f>"01206 217300"</f>
        <v>01206 217300</v>
      </c>
    </row>
    <row r="1766" spans="1:8">
      <c r="A1766" t="s">
        <v>6719</v>
      </c>
      <c r="B1766" t="s">
        <v>6799</v>
      </c>
      <c r="D1766" t="s">
        <v>5269</v>
      </c>
      <c r="F1766" t="s">
        <v>6800</v>
      </c>
      <c r="G1766" t="s">
        <v>6723</v>
      </c>
      <c r="H1766" t="str">
        <f>"01206 217300"</f>
        <v>01206 217300</v>
      </c>
    </row>
    <row r="1767" spans="1:8">
      <c r="A1767" t="s">
        <v>6719</v>
      </c>
      <c r="B1767" t="s">
        <v>6801</v>
      </c>
      <c r="D1767" t="s">
        <v>303</v>
      </c>
      <c r="F1767" t="s">
        <v>6802</v>
      </c>
      <c r="G1767" t="s">
        <v>6723</v>
      </c>
      <c r="H1767" t="str">
        <f>"029 2267 1301 "</f>
        <v xml:space="preserve">029 2267 1301 </v>
      </c>
    </row>
    <row r="1768" spans="1:8">
      <c r="A1768" t="s">
        <v>6803</v>
      </c>
      <c r="B1768" t="s">
        <v>6804</v>
      </c>
      <c r="D1768" t="s">
        <v>874</v>
      </c>
      <c r="E1768" t="s">
        <v>616</v>
      </c>
      <c r="F1768" t="s">
        <v>6805</v>
      </c>
      <c r="G1768" t="s">
        <v>6806</v>
      </c>
      <c r="H1768" t="str">
        <f>"01748850400"</f>
        <v>01748850400</v>
      </c>
    </row>
    <row r="1769" spans="1:8">
      <c r="A1769" t="s">
        <v>6803</v>
      </c>
      <c r="B1769" t="s">
        <v>6807</v>
      </c>
      <c r="D1769" t="s">
        <v>6808</v>
      </c>
      <c r="E1769" t="s">
        <v>616</v>
      </c>
      <c r="F1769" t="s">
        <v>6809</v>
      </c>
      <c r="G1769" t="s">
        <v>6810</v>
      </c>
      <c r="H1769" t="str">
        <f>"01748850400"</f>
        <v>01748850400</v>
      </c>
    </row>
    <row r="1770" spans="1:8">
      <c r="A1770" t="s">
        <v>6811</v>
      </c>
      <c r="B1770" t="s">
        <v>6812</v>
      </c>
      <c r="D1770" t="s">
        <v>6813</v>
      </c>
      <c r="E1770" t="s">
        <v>736</v>
      </c>
      <c r="F1770" t="s">
        <v>6814</v>
      </c>
      <c r="G1770" t="s">
        <v>6815</v>
      </c>
      <c r="H1770" t="str">
        <f>"01702333676"</f>
        <v>01702333676</v>
      </c>
    </row>
    <row r="1771" spans="1:8">
      <c r="A1771" t="s">
        <v>6816</v>
      </c>
      <c r="B1771" t="s">
        <v>6817</v>
      </c>
      <c r="D1771" t="s">
        <v>835</v>
      </c>
      <c r="E1771" t="s">
        <v>132</v>
      </c>
      <c r="F1771" t="s">
        <v>6818</v>
      </c>
      <c r="G1771" t="s">
        <v>6819</v>
      </c>
      <c r="H1771" t="str">
        <f>"01253 621432"</f>
        <v>01253 621432</v>
      </c>
    </row>
    <row r="1772" spans="1:8">
      <c r="A1772" t="s">
        <v>6816</v>
      </c>
      <c r="B1772" t="s">
        <v>6821</v>
      </c>
      <c r="C1772" t="s">
        <v>6820</v>
      </c>
      <c r="D1772" t="s">
        <v>6822</v>
      </c>
      <c r="E1772" t="s">
        <v>6823</v>
      </c>
      <c r="F1772" t="s">
        <v>6824</v>
      </c>
      <c r="G1772" t="s">
        <v>6819</v>
      </c>
      <c r="H1772" t="str">
        <f>"01253 734253"</f>
        <v>01253 734253</v>
      </c>
    </row>
    <row r="1773" spans="1:8">
      <c r="A1773" t="s">
        <v>6825</v>
      </c>
      <c r="B1773" t="s">
        <v>6826</v>
      </c>
      <c r="D1773" t="s">
        <v>6827</v>
      </c>
      <c r="E1773" t="s">
        <v>315</v>
      </c>
      <c r="F1773" t="s">
        <v>6828</v>
      </c>
      <c r="G1773" t="s">
        <v>6829</v>
      </c>
      <c r="H1773" t="str">
        <f>"0151 355 2645"</f>
        <v>0151 355 2645</v>
      </c>
    </row>
    <row r="1774" spans="1:8">
      <c r="A1774" t="s">
        <v>6825</v>
      </c>
      <c r="B1774" t="s">
        <v>6830</v>
      </c>
      <c r="D1774" t="s">
        <v>6831</v>
      </c>
      <c r="E1774" t="s">
        <v>315</v>
      </c>
      <c r="F1774" t="s">
        <v>6832</v>
      </c>
      <c r="G1774" t="s">
        <v>6833</v>
      </c>
      <c r="H1774" t="str">
        <f>"01606 834824"</f>
        <v>01606 834824</v>
      </c>
    </row>
    <row r="1775" spans="1:8">
      <c r="A1775" t="s">
        <v>6834</v>
      </c>
      <c r="B1775" t="s">
        <v>6835</v>
      </c>
      <c r="D1775" t="s">
        <v>5405</v>
      </c>
      <c r="E1775" t="s">
        <v>6836</v>
      </c>
      <c r="F1775" t="s">
        <v>6837</v>
      </c>
      <c r="G1775" t="s">
        <v>6838</v>
      </c>
      <c r="H1775" t="str">
        <f>"01554 755101"</f>
        <v>01554 755101</v>
      </c>
    </row>
    <row r="1776" spans="1:8">
      <c r="A1776" t="s">
        <v>6834</v>
      </c>
      <c r="B1776" t="s">
        <v>6839</v>
      </c>
      <c r="D1776" t="s">
        <v>5405</v>
      </c>
      <c r="E1776" t="s">
        <v>6840</v>
      </c>
      <c r="F1776" t="s">
        <v>5406</v>
      </c>
      <c r="G1776" t="s">
        <v>6838</v>
      </c>
      <c r="H1776" t="str">
        <f>"01554 772149"</f>
        <v>01554 772149</v>
      </c>
    </row>
    <row r="1777" spans="1:8">
      <c r="A1777" t="s">
        <v>6834</v>
      </c>
      <c r="B1777" t="s">
        <v>6842</v>
      </c>
      <c r="C1777" t="s">
        <v>6841</v>
      </c>
      <c r="D1777" t="s">
        <v>2995</v>
      </c>
      <c r="F1777" t="s">
        <v>6843</v>
      </c>
      <c r="G1777" t="s">
        <v>6844</v>
      </c>
      <c r="H1777" t="str">
        <f>"01554772149"</f>
        <v>01554772149</v>
      </c>
    </row>
    <row r="1778" spans="1:8">
      <c r="A1778" t="s">
        <v>6834</v>
      </c>
      <c r="B1778" t="s">
        <v>6845</v>
      </c>
      <c r="D1778" t="s">
        <v>6846</v>
      </c>
      <c r="F1778" t="s">
        <v>6847</v>
      </c>
      <c r="G1778" t="s">
        <v>6848</v>
      </c>
      <c r="H1778" t="str">
        <f>"01554755101"</f>
        <v>01554755101</v>
      </c>
    </row>
    <row r="1779" spans="1:8">
      <c r="A1779" t="s">
        <v>6849</v>
      </c>
      <c r="B1779" t="s">
        <v>6850</v>
      </c>
      <c r="D1779" t="s">
        <v>2937</v>
      </c>
      <c r="E1779" t="s">
        <v>760</v>
      </c>
      <c r="F1779" t="s">
        <v>6851</v>
      </c>
      <c r="G1779" t="s">
        <v>6852</v>
      </c>
      <c r="H1779" t="str">
        <f>"01993 703272"</f>
        <v>01993 703272</v>
      </c>
    </row>
    <row r="1780" spans="1:8">
      <c r="A1780" t="s">
        <v>6849</v>
      </c>
      <c r="B1780" t="s">
        <v>6854</v>
      </c>
      <c r="D1780" t="s">
        <v>6853</v>
      </c>
      <c r="F1780" t="s">
        <v>6855</v>
      </c>
      <c r="G1780" t="s">
        <v>6856</v>
      </c>
      <c r="H1780" t="str">
        <f>"01993 840 200"</f>
        <v>01993 840 200</v>
      </c>
    </row>
    <row r="1781" spans="1:8">
      <c r="A1781" t="s">
        <v>6849</v>
      </c>
      <c r="B1781" t="s">
        <v>6857</v>
      </c>
      <c r="D1781" t="s">
        <v>4810</v>
      </c>
      <c r="F1781" t="s">
        <v>6858</v>
      </c>
      <c r="G1781" t="s">
        <v>6859</v>
      </c>
      <c r="H1781" t="str">
        <f>"01869627555"</f>
        <v>01869627555</v>
      </c>
    </row>
    <row r="1782" spans="1:8">
      <c r="A1782" t="s">
        <v>6860</v>
      </c>
      <c r="B1782" t="s">
        <v>6861</v>
      </c>
      <c r="C1782" t="s">
        <v>6862</v>
      </c>
      <c r="D1782" t="s">
        <v>770</v>
      </c>
      <c r="E1782" t="s">
        <v>132</v>
      </c>
      <c r="F1782" t="s">
        <v>6863</v>
      </c>
      <c r="G1782" t="s">
        <v>6864</v>
      </c>
      <c r="H1782" t="str">
        <f>"01706829750"</f>
        <v>01706829750</v>
      </c>
    </row>
    <row r="1783" spans="1:8">
      <c r="A1783" t="s">
        <v>6860</v>
      </c>
      <c r="B1783" t="s">
        <v>6865</v>
      </c>
      <c r="C1783" t="s">
        <v>6866</v>
      </c>
      <c r="D1783" t="s">
        <v>766</v>
      </c>
      <c r="E1783" t="s">
        <v>569</v>
      </c>
      <c r="F1783" t="s">
        <v>6867</v>
      </c>
      <c r="G1783" t="s">
        <v>6864</v>
      </c>
      <c r="H1783" t="str">
        <f>"01204 389908"</f>
        <v>01204 389908</v>
      </c>
    </row>
    <row r="1784" spans="1:8">
      <c r="A1784" t="s">
        <v>6860</v>
      </c>
      <c r="B1784" t="s">
        <v>6868</v>
      </c>
      <c r="C1784" t="s">
        <v>4756</v>
      </c>
      <c r="D1784" t="s">
        <v>766</v>
      </c>
      <c r="E1784" t="s">
        <v>132</v>
      </c>
      <c r="F1784" t="s">
        <v>6869</v>
      </c>
      <c r="G1784" t="s">
        <v>6864</v>
      </c>
      <c r="H1784" t="str">
        <f>"01204 697467"</f>
        <v>01204 697467</v>
      </c>
    </row>
    <row r="1785" spans="1:8">
      <c r="A1785" t="s">
        <v>6860</v>
      </c>
      <c r="B1785" t="s">
        <v>6870</v>
      </c>
      <c r="D1785" t="s">
        <v>766</v>
      </c>
      <c r="E1785" t="s">
        <v>132</v>
      </c>
      <c r="F1785" t="s">
        <v>6871</v>
      </c>
      <c r="G1785" t="s">
        <v>6864</v>
      </c>
      <c r="H1785" t="str">
        <f>"01204 498970"</f>
        <v>01204 498970</v>
      </c>
    </row>
    <row r="1786" spans="1:8">
      <c r="A1786" t="s">
        <v>6872</v>
      </c>
      <c r="B1786" t="s">
        <v>6873</v>
      </c>
      <c r="C1786" t="s">
        <v>5428</v>
      </c>
      <c r="D1786" t="s">
        <v>368</v>
      </c>
      <c r="F1786" t="s">
        <v>6874</v>
      </c>
      <c r="G1786" t="s">
        <v>6875</v>
      </c>
      <c r="H1786" t="str">
        <f>"01832 272971"</f>
        <v>01832 272971</v>
      </c>
    </row>
    <row r="1787" spans="1:8">
      <c r="A1787" t="s">
        <v>6872</v>
      </c>
      <c r="B1787" t="s">
        <v>6876</v>
      </c>
      <c r="C1787" t="s">
        <v>5719</v>
      </c>
      <c r="D1787" t="s">
        <v>5716</v>
      </c>
      <c r="F1787" t="s">
        <v>6877</v>
      </c>
      <c r="G1787" t="s">
        <v>6878</v>
      </c>
      <c r="H1787" t="str">
        <f>"01925 361999"</f>
        <v>01925 361999</v>
      </c>
    </row>
    <row r="1788" spans="1:8">
      <c r="A1788" t="s">
        <v>6872</v>
      </c>
      <c r="B1788" t="s">
        <v>6879</v>
      </c>
      <c r="D1788" t="s">
        <v>3407</v>
      </c>
      <c r="F1788" t="s">
        <v>6880</v>
      </c>
      <c r="G1788" t="s">
        <v>6881</v>
      </c>
      <c r="H1788" t="str">
        <f>"0161 8706773 "</f>
        <v xml:space="preserve">0161 8706773 </v>
      </c>
    </row>
    <row r="1789" spans="1:8">
      <c r="A1789" t="s">
        <v>6882</v>
      </c>
      <c r="B1789" t="s">
        <v>6883</v>
      </c>
      <c r="C1789" t="s">
        <v>6884</v>
      </c>
      <c r="D1789" t="s">
        <v>266</v>
      </c>
      <c r="E1789" t="s">
        <v>121</v>
      </c>
      <c r="F1789" t="s">
        <v>6885</v>
      </c>
      <c r="G1789" t="s">
        <v>6886</v>
      </c>
      <c r="H1789" t="str">
        <f>"01420 82881"</f>
        <v>01420 82881</v>
      </c>
    </row>
    <row r="1790" spans="1:8">
      <c r="A1790" t="s">
        <v>6887</v>
      </c>
      <c r="B1790" t="s">
        <v>6888</v>
      </c>
      <c r="C1790" t="s">
        <v>6889</v>
      </c>
      <c r="D1790" t="s">
        <v>1214</v>
      </c>
      <c r="E1790" t="s">
        <v>6890</v>
      </c>
      <c r="F1790" t="s">
        <v>6891</v>
      </c>
      <c r="G1790" t="s">
        <v>6892</v>
      </c>
      <c r="H1790" t="str">
        <f>"0115 9146205"</f>
        <v>0115 9146205</v>
      </c>
    </row>
    <row r="1791" spans="1:8">
      <c r="A1791" t="s">
        <v>6893</v>
      </c>
      <c r="B1791" t="s">
        <v>6894</v>
      </c>
      <c r="C1791" t="s">
        <v>6895</v>
      </c>
      <c r="D1791" t="s">
        <v>6896</v>
      </c>
      <c r="E1791" t="s">
        <v>520</v>
      </c>
      <c r="F1791" t="s">
        <v>6897</v>
      </c>
      <c r="G1791" t="s">
        <v>6898</v>
      </c>
      <c r="H1791" t="str">
        <f>"01273 608003"</f>
        <v>01273 608003</v>
      </c>
    </row>
    <row r="1792" spans="1:8">
      <c r="A1792" t="s">
        <v>6899</v>
      </c>
      <c r="B1792" t="s">
        <v>6900</v>
      </c>
      <c r="D1792" t="s">
        <v>3304</v>
      </c>
      <c r="F1792" t="s">
        <v>6901</v>
      </c>
      <c r="G1792" t="s">
        <v>6902</v>
      </c>
      <c r="H1792" t="str">
        <f>"01625 424666"</f>
        <v>01625 424666</v>
      </c>
    </row>
    <row r="1793" spans="1:8">
      <c r="A1793" t="s">
        <v>6903</v>
      </c>
      <c r="B1793" t="s">
        <v>6904</v>
      </c>
      <c r="D1793" t="s">
        <v>2005</v>
      </c>
      <c r="E1793" t="s">
        <v>2006</v>
      </c>
      <c r="F1793" t="s">
        <v>6905</v>
      </c>
      <c r="G1793" t="s">
        <v>6906</v>
      </c>
      <c r="H1793" t="str">
        <f>"020 8868 7636"</f>
        <v>020 8868 7636</v>
      </c>
    </row>
    <row r="1794" spans="1:8">
      <c r="A1794" t="s">
        <v>6907</v>
      </c>
      <c r="B1794" t="s">
        <v>6908</v>
      </c>
      <c r="D1794" t="s">
        <v>4638</v>
      </c>
      <c r="E1794" t="s">
        <v>1200</v>
      </c>
      <c r="F1794" t="s">
        <v>6909</v>
      </c>
      <c r="G1794" t="s">
        <v>6910</v>
      </c>
      <c r="H1794" t="str">
        <f>"01788 579579"</f>
        <v>01788 579579</v>
      </c>
    </row>
    <row r="1795" spans="1:8">
      <c r="A1795" t="s">
        <v>6907</v>
      </c>
      <c r="B1795" t="s">
        <v>6911</v>
      </c>
      <c r="C1795" t="s">
        <v>6912</v>
      </c>
      <c r="D1795" t="s">
        <v>4802</v>
      </c>
      <c r="E1795" t="s">
        <v>760</v>
      </c>
      <c r="F1795" t="s">
        <v>6913</v>
      </c>
      <c r="G1795" t="s">
        <v>6914</v>
      </c>
      <c r="H1795" t="str">
        <f>"01295 270999"</f>
        <v>01295 270999</v>
      </c>
    </row>
    <row r="1796" spans="1:8">
      <c r="A1796" t="s">
        <v>6907</v>
      </c>
      <c r="B1796" t="s">
        <v>6915</v>
      </c>
      <c r="C1796" t="s">
        <v>6916</v>
      </c>
      <c r="D1796" t="s">
        <v>4810</v>
      </c>
      <c r="E1796" t="s">
        <v>760</v>
      </c>
      <c r="F1796" t="s">
        <v>6917</v>
      </c>
      <c r="G1796" t="s">
        <v>6918</v>
      </c>
      <c r="H1796" t="str">
        <f>"01869 252161"</f>
        <v>01869 252161</v>
      </c>
    </row>
    <row r="1797" spans="1:8">
      <c r="A1797" t="s">
        <v>6907</v>
      </c>
      <c r="B1797" t="s">
        <v>6919</v>
      </c>
      <c r="D1797" t="s">
        <v>158</v>
      </c>
      <c r="F1797" t="s">
        <v>6920</v>
      </c>
      <c r="G1797" t="s">
        <v>6918</v>
      </c>
      <c r="H1797" t="str">
        <f>"01242472747"</f>
        <v>01242472747</v>
      </c>
    </row>
    <row r="1798" spans="1:8">
      <c r="A1798" t="s">
        <v>6921</v>
      </c>
      <c r="B1798" t="s">
        <v>6922</v>
      </c>
      <c r="C1798" t="s">
        <v>6923</v>
      </c>
      <c r="D1798" t="s">
        <v>3570</v>
      </c>
      <c r="E1798" t="s">
        <v>2281</v>
      </c>
      <c r="F1798" t="s">
        <v>6924</v>
      </c>
      <c r="G1798" t="s">
        <v>6925</v>
      </c>
      <c r="H1798" t="str">
        <f>"01726 874755"</f>
        <v>01726 874755</v>
      </c>
    </row>
    <row r="1799" spans="1:8">
      <c r="A1799" t="s">
        <v>6921</v>
      </c>
      <c r="B1799" t="s">
        <v>6927</v>
      </c>
      <c r="D1799" t="s">
        <v>6926</v>
      </c>
      <c r="E1799" t="s">
        <v>2281</v>
      </c>
      <c r="F1799" t="s">
        <v>6928</v>
      </c>
      <c r="G1799" t="s">
        <v>6925</v>
      </c>
      <c r="H1799" t="str">
        <f>"01872 246200"</f>
        <v>01872 246200</v>
      </c>
    </row>
    <row r="1800" spans="1:8">
      <c r="A1800" t="s">
        <v>6921</v>
      </c>
      <c r="B1800" t="s">
        <v>6929</v>
      </c>
      <c r="C1800" t="s">
        <v>6930</v>
      </c>
      <c r="D1800" t="s">
        <v>2288</v>
      </c>
      <c r="E1800" t="s">
        <v>2281</v>
      </c>
      <c r="F1800" t="s">
        <v>6931</v>
      </c>
      <c r="G1800" t="s">
        <v>6925</v>
      </c>
      <c r="H1800" t="str">
        <f>"01637 878111"</f>
        <v>01637 878111</v>
      </c>
    </row>
    <row r="1801" spans="1:8">
      <c r="A1801" t="s">
        <v>6921</v>
      </c>
      <c r="B1801" t="s">
        <v>6932</v>
      </c>
      <c r="C1801" t="s">
        <v>6933</v>
      </c>
      <c r="D1801" t="s">
        <v>6628</v>
      </c>
      <c r="E1801" t="s">
        <v>2281</v>
      </c>
      <c r="F1801" t="s">
        <v>6934</v>
      </c>
      <c r="G1801" t="s">
        <v>6925</v>
      </c>
      <c r="H1801" t="str">
        <f>"01579 347600"</f>
        <v>01579 347600</v>
      </c>
    </row>
    <row r="1802" spans="1:8">
      <c r="A1802" t="s">
        <v>6921</v>
      </c>
      <c r="B1802" t="s">
        <v>6936</v>
      </c>
      <c r="D1802" t="s">
        <v>6935</v>
      </c>
      <c r="E1802" t="s">
        <v>2281</v>
      </c>
      <c r="F1802" t="s">
        <v>6937</v>
      </c>
      <c r="G1802" t="s">
        <v>6925</v>
      </c>
      <c r="H1802" t="str">
        <f>"01566 770000"</f>
        <v>01566 770000</v>
      </c>
    </row>
    <row r="1803" spans="1:8">
      <c r="A1803" t="s">
        <v>6921</v>
      </c>
      <c r="B1803" t="s">
        <v>6938</v>
      </c>
      <c r="D1803" t="s">
        <v>3573</v>
      </c>
      <c r="E1803" t="s">
        <v>2281</v>
      </c>
      <c r="F1803" t="s">
        <v>6939</v>
      </c>
      <c r="G1803" t="s">
        <v>6925</v>
      </c>
      <c r="H1803" t="str">
        <f>"01736 362294"</f>
        <v>01736 362294</v>
      </c>
    </row>
    <row r="1804" spans="1:8">
      <c r="A1804" t="s">
        <v>6921</v>
      </c>
      <c r="B1804" t="s">
        <v>6941</v>
      </c>
      <c r="D1804" t="s">
        <v>6940</v>
      </c>
      <c r="E1804" t="s">
        <v>309</v>
      </c>
      <c r="F1804" t="s">
        <v>6942</v>
      </c>
      <c r="G1804" t="s">
        <v>6925</v>
      </c>
      <c r="H1804" t="str">
        <f>"01409 253425"</f>
        <v>01409 253425</v>
      </c>
    </row>
    <row r="1805" spans="1:8">
      <c r="A1805" t="s">
        <v>6921</v>
      </c>
      <c r="B1805" t="s">
        <v>6943</v>
      </c>
      <c r="C1805" t="s">
        <v>3558</v>
      </c>
      <c r="D1805" t="s">
        <v>3559</v>
      </c>
      <c r="E1805" t="s">
        <v>2281</v>
      </c>
      <c r="F1805" t="s">
        <v>6944</v>
      </c>
      <c r="G1805" t="s">
        <v>6925</v>
      </c>
      <c r="H1805" t="str">
        <f>"01326 318900"</f>
        <v>01326 318900</v>
      </c>
    </row>
    <row r="1806" spans="1:8">
      <c r="A1806" t="s">
        <v>6945</v>
      </c>
      <c r="B1806" t="s">
        <v>6946</v>
      </c>
      <c r="D1806" t="s">
        <v>5784</v>
      </c>
      <c r="E1806" t="s">
        <v>164</v>
      </c>
      <c r="F1806" t="s">
        <v>6947</v>
      </c>
      <c r="G1806" t="s">
        <v>6948</v>
      </c>
      <c r="H1806" t="str">
        <f>"01308 422313"</f>
        <v>01308 422313</v>
      </c>
    </row>
    <row r="1807" spans="1:8">
      <c r="A1807" t="s">
        <v>6945</v>
      </c>
      <c r="B1807" t="s">
        <v>6949</v>
      </c>
      <c r="D1807" t="s">
        <v>3223</v>
      </c>
      <c r="E1807" t="s">
        <v>164</v>
      </c>
      <c r="F1807" t="s">
        <v>6950</v>
      </c>
      <c r="G1807" t="s">
        <v>6951</v>
      </c>
      <c r="H1807" t="str">
        <f>"01305 771000"</f>
        <v>01305 771000</v>
      </c>
    </row>
    <row r="1808" spans="1:8">
      <c r="A1808" t="s">
        <v>6945</v>
      </c>
      <c r="B1808" t="s">
        <v>6952</v>
      </c>
      <c r="D1808" t="s">
        <v>1572</v>
      </c>
      <c r="E1808" t="s">
        <v>164</v>
      </c>
      <c r="F1808" t="s">
        <v>6953</v>
      </c>
      <c r="G1808" t="s">
        <v>6948</v>
      </c>
      <c r="H1808" t="str">
        <f>"01305 250100"</f>
        <v>01305 250100</v>
      </c>
    </row>
    <row r="1809" spans="1:8">
      <c r="A1809" t="s">
        <v>6954</v>
      </c>
      <c r="B1809" t="s">
        <v>6955</v>
      </c>
      <c r="D1809" t="s">
        <v>6956</v>
      </c>
      <c r="E1809" t="s">
        <v>57</v>
      </c>
      <c r="F1809" t="s">
        <v>6957</v>
      </c>
      <c r="G1809" t="s">
        <v>6958</v>
      </c>
      <c r="H1809" t="str">
        <f>"020 84701422"</f>
        <v>020 84701422</v>
      </c>
    </row>
    <row r="1810" spans="1:8">
      <c r="A1810" t="s">
        <v>6959</v>
      </c>
      <c r="B1810" t="s">
        <v>6960</v>
      </c>
      <c r="C1810" t="s">
        <v>6961</v>
      </c>
      <c r="D1810" t="s">
        <v>6962</v>
      </c>
      <c r="E1810" t="s">
        <v>6963</v>
      </c>
      <c r="F1810" t="s">
        <v>6964</v>
      </c>
      <c r="G1810" t="s">
        <v>6965</v>
      </c>
      <c r="H1810" t="str">
        <f>"0208 731 3080"</f>
        <v>0208 731 3080</v>
      </c>
    </row>
    <row r="1811" spans="1:8">
      <c r="A1811" t="s">
        <v>6966</v>
      </c>
      <c r="B1811" t="s">
        <v>6967</v>
      </c>
      <c r="D1811" t="s">
        <v>6968</v>
      </c>
      <c r="E1811" t="s">
        <v>164</v>
      </c>
      <c r="F1811" t="s">
        <v>6969</v>
      </c>
      <c r="G1811" t="s">
        <v>6970</v>
      </c>
      <c r="H1811" t="str">
        <f>"01308 862313"</f>
        <v>01308 862313</v>
      </c>
    </row>
    <row r="1812" spans="1:8">
      <c r="A1812" t="s">
        <v>6966</v>
      </c>
      <c r="B1812" t="s">
        <v>6972</v>
      </c>
      <c r="D1812" t="s">
        <v>6971</v>
      </c>
      <c r="E1812" t="s">
        <v>1626</v>
      </c>
      <c r="F1812" t="s">
        <v>6973</v>
      </c>
      <c r="G1812" t="s">
        <v>6974</v>
      </c>
      <c r="H1812" t="str">
        <f>"01297 442580"</f>
        <v>01297 442580</v>
      </c>
    </row>
    <row r="1813" spans="1:8">
      <c r="A1813" t="s">
        <v>6966</v>
      </c>
      <c r="B1813" t="s">
        <v>6975</v>
      </c>
      <c r="D1813" t="s">
        <v>5784</v>
      </c>
      <c r="E1813" t="s">
        <v>1626</v>
      </c>
      <c r="F1813" t="s">
        <v>6976</v>
      </c>
      <c r="G1813" t="s">
        <v>6977</v>
      </c>
      <c r="H1813" t="str">
        <f>"01308 427436"</f>
        <v>01308 427436</v>
      </c>
    </row>
    <row r="1814" spans="1:8">
      <c r="A1814" t="s">
        <v>6966</v>
      </c>
      <c r="B1814" t="s">
        <v>6978</v>
      </c>
      <c r="D1814" t="s">
        <v>3223</v>
      </c>
      <c r="F1814" t="s">
        <v>6979</v>
      </c>
      <c r="G1814" t="s">
        <v>6980</v>
      </c>
      <c r="H1814" t="str">
        <f>"01305 341400"</f>
        <v>01305 341400</v>
      </c>
    </row>
    <row r="1815" spans="1:8">
      <c r="A1815" t="s">
        <v>6981</v>
      </c>
      <c r="B1815" t="s">
        <v>6982</v>
      </c>
      <c r="D1815" t="s">
        <v>6983</v>
      </c>
      <c r="E1815" t="s">
        <v>1180</v>
      </c>
      <c r="F1815" t="s">
        <v>6984</v>
      </c>
      <c r="G1815" t="s">
        <v>6985</v>
      </c>
      <c r="H1815" t="str">
        <f>"01327 301771"</f>
        <v>01327 301771</v>
      </c>
    </row>
    <row r="1816" spans="1:8">
      <c r="A1816" t="s">
        <v>6981</v>
      </c>
      <c r="B1816" t="s">
        <v>6986</v>
      </c>
      <c r="C1816" t="s">
        <v>1198</v>
      </c>
      <c r="D1816" t="s">
        <v>6987</v>
      </c>
      <c r="F1816" t="s">
        <v>6988</v>
      </c>
      <c r="G1816" t="s">
        <v>6989</v>
      </c>
      <c r="H1816" t="str">
        <f>"01926 883431"</f>
        <v>01926 883431</v>
      </c>
    </row>
    <row r="1817" spans="1:8">
      <c r="A1817" t="s">
        <v>6981</v>
      </c>
      <c r="B1817" t="s">
        <v>6990</v>
      </c>
      <c r="D1817" t="s">
        <v>793</v>
      </c>
      <c r="F1817" t="s">
        <v>795</v>
      </c>
      <c r="G1817" t="s">
        <v>6989</v>
      </c>
      <c r="H1817" t="str">
        <f>"01455 552378"</f>
        <v>01455 552378</v>
      </c>
    </row>
    <row r="1818" spans="1:8">
      <c r="A1818" t="s">
        <v>6991</v>
      </c>
      <c r="B1818" t="s">
        <v>6992</v>
      </c>
      <c r="D1818" t="s">
        <v>4005</v>
      </c>
      <c r="E1818" t="s">
        <v>16</v>
      </c>
      <c r="F1818" t="s">
        <v>6993</v>
      </c>
      <c r="G1818" t="s">
        <v>6994</v>
      </c>
      <c r="H1818" t="str">
        <f>"01922 639080"</f>
        <v>01922 639080</v>
      </c>
    </row>
    <row r="1819" spans="1:8">
      <c r="A1819" t="s">
        <v>6995</v>
      </c>
      <c r="B1819" t="s">
        <v>6996</v>
      </c>
      <c r="C1819" t="s">
        <v>6997</v>
      </c>
      <c r="D1819" t="s">
        <v>297</v>
      </c>
      <c r="E1819" t="s">
        <v>132</v>
      </c>
      <c r="F1819" t="s">
        <v>6998</v>
      </c>
      <c r="G1819" t="s">
        <v>6999</v>
      </c>
      <c r="H1819" t="str">
        <f>"0161 832 3434"</f>
        <v>0161 832 3434</v>
      </c>
    </row>
    <row r="1820" spans="1:8">
      <c r="A1820" t="s">
        <v>7000</v>
      </c>
      <c r="B1820" t="s">
        <v>7001</v>
      </c>
      <c r="C1820" t="s">
        <v>7002</v>
      </c>
      <c r="D1820" t="s">
        <v>1411</v>
      </c>
      <c r="E1820" t="s">
        <v>1412</v>
      </c>
      <c r="F1820" t="s">
        <v>7003</v>
      </c>
      <c r="G1820" t="s">
        <v>7004</v>
      </c>
      <c r="H1820" t="str">
        <f>"01473 333323"</f>
        <v>01473 333323</v>
      </c>
    </row>
    <row r="1821" spans="1:8">
      <c r="A1821" t="s">
        <v>7005</v>
      </c>
      <c r="B1821" t="s">
        <v>7006</v>
      </c>
      <c r="D1821" t="s">
        <v>2018</v>
      </c>
      <c r="E1821" t="s">
        <v>132</v>
      </c>
      <c r="F1821" t="s">
        <v>7007</v>
      </c>
      <c r="G1821" t="s">
        <v>7008</v>
      </c>
      <c r="H1821" t="str">
        <f>"01524 62985"</f>
        <v>01524 62985</v>
      </c>
    </row>
    <row r="1822" spans="1:8">
      <c r="A1822" t="s">
        <v>7009</v>
      </c>
      <c r="B1822" t="s">
        <v>7010</v>
      </c>
      <c r="D1822" t="s">
        <v>1616</v>
      </c>
      <c r="E1822" t="s">
        <v>3140</v>
      </c>
      <c r="F1822" t="s">
        <v>7011</v>
      </c>
      <c r="G1822" t="s">
        <v>7012</v>
      </c>
      <c r="H1822" t="str">
        <f>"01633 244233"</f>
        <v>01633 244233</v>
      </c>
    </row>
    <row r="1823" spans="1:8">
      <c r="A1823" t="s">
        <v>7009</v>
      </c>
      <c r="B1823" t="s">
        <v>7013</v>
      </c>
      <c r="D1823" t="s">
        <v>1962</v>
      </c>
      <c r="E1823" t="s">
        <v>303</v>
      </c>
      <c r="F1823" t="s">
        <v>7014</v>
      </c>
      <c r="G1823" t="s">
        <v>7015</v>
      </c>
      <c r="H1823" t="str">
        <f>"02922 676 818"</f>
        <v>02922 676 818</v>
      </c>
    </row>
    <row r="1824" spans="1:8">
      <c r="A1824" t="s">
        <v>7016</v>
      </c>
      <c r="B1824" t="s">
        <v>7017</v>
      </c>
      <c r="D1824" t="s">
        <v>57</v>
      </c>
      <c r="F1824" t="s">
        <v>7018</v>
      </c>
      <c r="G1824" t="s">
        <v>7019</v>
      </c>
      <c r="H1824" t="str">
        <f>"020 7486 2566"</f>
        <v>020 7486 2566</v>
      </c>
    </row>
    <row r="1825" spans="1:8">
      <c r="A1825" t="s">
        <v>7016</v>
      </c>
      <c r="B1825" t="s">
        <v>7020</v>
      </c>
      <c r="D1825" t="s">
        <v>297</v>
      </c>
      <c r="F1825" t="s">
        <v>5024</v>
      </c>
      <c r="G1825" t="s">
        <v>7021</v>
      </c>
      <c r="H1825" t="str">
        <f>"020 7486 2566"</f>
        <v>020 7486 2566</v>
      </c>
    </row>
    <row r="1826" spans="1:8">
      <c r="A1826" t="s">
        <v>7022</v>
      </c>
      <c r="B1826" t="s">
        <v>7023</v>
      </c>
      <c r="C1826" t="s">
        <v>7024</v>
      </c>
      <c r="D1826" t="s">
        <v>849</v>
      </c>
      <c r="E1826" t="s">
        <v>121</v>
      </c>
      <c r="F1826" t="s">
        <v>7025</v>
      </c>
      <c r="G1826" t="s">
        <v>7026</v>
      </c>
      <c r="H1826" t="str">
        <f>"01252375376"</f>
        <v>01252375376</v>
      </c>
    </row>
    <row r="1827" spans="1:8">
      <c r="A1827" t="s">
        <v>7022</v>
      </c>
      <c r="B1827" t="s">
        <v>7027</v>
      </c>
      <c r="C1827" t="s">
        <v>7028</v>
      </c>
      <c r="D1827" t="s">
        <v>1913</v>
      </c>
      <c r="F1827" t="s">
        <v>7029</v>
      </c>
      <c r="G1827" t="s">
        <v>7030</v>
      </c>
      <c r="H1827" t="str">
        <f>"01420500670"</f>
        <v>01420500670</v>
      </c>
    </row>
    <row r="1828" spans="1:8">
      <c r="A1828" t="s">
        <v>7031</v>
      </c>
      <c r="B1828" t="s">
        <v>7032</v>
      </c>
      <c r="D1828" t="s">
        <v>7033</v>
      </c>
      <c r="E1828" t="s">
        <v>132</v>
      </c>
      <c r="F1828" t="s">
        <v>7034</v>
      </c>
      <c r="G1828" t="s">
        <v>7035</v>
      </c>
      <c r="H1828" t="str">
        <f>"01254 701 111"</f>
        <v>01254 701 111</v>
      </c>
    </row>
    <row r="1829" spans="1:8">
      <c r="A1829" t="s">
        <v>7031</v>
      </c>
      <c r="B1829" t="s">
        <v>7036</v>
      </c>
      <c r="C1829" t="s">
        <v>2788</v>
      </c>
      <c r="D1829" t="s">
        <v>2772</v>
      </c>
      <c r="E1829" t="s">
        <v>132</v>
      </c>
      <c r="F1829" t="s">
        <v>7037</v>
      </c>
      <c r="G1829" t="s">
        <v>7035</v>
      </c>
      <c r="H1829" t="str">
        <f>"01254 884422"</f>
        <v>01254 884422</v>
      </c>
    </row>
    <row r="1830" spans="1:8">
      <c r="A1830" t="s">
        <v>7031</v>
      </c>
      <c r="B1830" t="s">
        <v>7038</v>
      </c>
      <c r="D1830" t="s">
        <v>2772</v>
      </c>
      <c r="E1830" t="s">
        <v>132</v>
      </c>
      <c r="F1830" t="s">
        <v>7039</v>
      </c>
      <c r="G1830" t="s">
        <v>7040</v>
      </c>
      <c r="H1830" t="str">
        <f>"01254 672222"</f>
        <v>01254 672222</v>
      </c>
    </row>
    <row r="1831" spans="1:8">
      <c r="A1831" t="s">
        <v>7031</v>
      </c>
      <c r="B1831" t="s">
        <v>7041</v>
      </c>
      <c r="D1831" t="s">
        <v>808</v>
      </c>
      <c r="E1831" t="s">
        <v>132</v>
      </c>
      <c r="F1831" t="s">
        <v>7042</v>
      </c>
      <c r="G1831" t="s">
        <v>7035</v>
      </c>
      <c r="H1831" t="str">
        <f>"01254 301044"</f>
        <v>01254 301044</v>
      </c>
    </row>
    <row r="1832" spans="1:8">
      <c r="A1832" t="s">
        <v>7031</v>
      </c>
      <c r="B1832" t="s">
        <v>7043</v>
      </c>
      <c r="D1832" t="s">
        <v>1394</v>
      </c>
      <c r="F1832" t="s">
        <v>7044</v>
      </c>
      <c r="G1832" t="s">
        <v>7035</v>
      </c>
      <c r="H1832" t="str">
        <f>"01977 703224"</f>
        <v>01977 703224</v>
      </c>
    </row>
    <row r="1833" spans="1:8">
      <c r="A1833" t="s">
        <v>7031</v>
      </c>
      <c r="B1833" t="s">
        <v>7046</v>
      </c>
      <c r="D1833" t="s">
        <v>7045</v>
      </c>
      <c r="F1833" t="s">
        <v>7047</v>
      </c>
      <c r="G1833" t="s">
        <v>7035</v>
      </c>
      <c r="H1833" t="str">
        <f>"01257 241818"</f>
        <v>01257 241818</v>
      </c>
    </row>
    <row r="1834" spans="1:8">
      <c r="A1834" t="s">
        <v>7031</v>
      </c>
      <c r="B1834" t="s">
        <v>7048</v>
      </c>
      <c r="D1834" t="s">
        <v>2794</v>
      </c>
      <c r="F1834" t="s">
        <v>7049</v>
      </c>
      <c r="G1834" t="s">
        <v>7035</v>
      </c>
      <c r="H1834" t="str">
        <f>"0120 0444321"</f>
        <v>0120 0444321</v>
      </c>
    </row>
    <row r="1835" spans="1:8">
      <c r="A1835" t="s">
        <v>7031</v>
      </c>
      <c r="B1835" t="s">
        <v>7051</v>
      </c>
      <c r="D1835" t="s">
        <v>7050</v>
      </c>
      <c r="F1835" t="s">
        <v>7052</v>
      </c>
      <c r="G1835" t="s">
        <v>7035</v>
      </c>
      <c r="H1835" t="str">
        <f>"01282 813385"</f>
        <v>01282 813385</v>
      </c>
    </row>
    <row r="1836" spans="1:8">
      <c r="A1836" t="s">
        <v>7031</v>
      </c>
      <c r="B1836" t="s">
        <v>7053</v>
      </c>
      <c r="C1836" t="s">
        <v>7054</v>
      </c>
      <c r="D1836" t="s">
        <v>61</v>
      </c>
      <c r="F1836" t="s">
        <v>7055</v>
      </c>
      <c r="G1836" t="s">
        <v>7035</v>
      </c>
      <c r="H1836" t="str">
        <f>"0117 432 3000"</f>
        <v>0117 432 3000</v>
      </c>
    </row>
    <row r="1837" spans="1:8">
      <c r="A1837" t="s">
        <v>7031</v>
      </c>
      <c r="B1837" t="s">
        <v>7056</v>
      </c>
      <c r="D1837" t="s">
        <v>1687</v>
      </c>
      <c r="F1837" t="s">
        <v>7057</v>
      </c>
      <c r="G1837" t="s">
        <v>7058</v>
      </c>
      <c r="H1837" t="str">
        <f>"01253372200"</f>
        <v>01253372200</v>
      </c>
    </row>
    <row r="1838" spans="1:8">
      <c r="A1838" t="s">
        <v>7031</v>
      </c>
      <c r="B1838" t="s">
        <v>7060</v>
      </c>
      <c r="C1838" t="s">
        <v>7061</v>
      </c>
      <c r="D1838" t="s">
        <v>7059</v>
      </c>
      <c r="E1838" t="s">
        <v>2494</v>
      </c>
      <c r="F1838" t="s">
        <v>7062</v>
      </c>
      <c r="G1838" t="s">
        <v>7063</v>
      </c>
      <c r="H1838" t="str">
        <f>"01457380057"</f>
        <v>01457380057</v>
      </c>
    </row>
    <row r="1839" spans="1:8">
      <c r="A1839" t="s">
        <v>7031</v>
      </c>
      <c r="B1839" t="s">
        <v>7064</v>
      </c>
      <c r="D1839" t="s">
        <v>1715</v>
      </c>
      <c r="F1839" t="s">
        <v>7065</v>
      </c>
      <c r="G1839" t="s">
        <v>7066</v>
      </c>
      <c r="H1839" t="str">
        <f>"01282 429999"</f>
        <v>01282 429999</v>
      </c>
    </row>
    <row r="1840" spans="1:8">
      <c r="A1840" t="s">
        <v>7031</v>
      </c>
      <c r="B1840" t="s">
        <v>7067</v>
      </c>
      <c r="D1840" t="s">
        <v>57</v>
      </c>
      <c r="F1840" t="s">
        <v>7068</v>
      </c>
      <c r="G1840" t="s">
        <v>7069</v>
      </c>
      <c r="H1840" t="str">
        <f>"020 3924 2290"</f>
        <v>020 3924 2290</v>
      </c>
    </row>
    <row r="1841" spans="1:8">
      <c r="A1841" t="s">
        <v>7031</v>
      </c>
      <c r="B1841" t="s">
        <v>7070</v>
      </c>
      <c r="D1841" t="s">
        <v>7071</v>
      </c>
      <c r="E1841" t="s">
        <v>7072</v>
      </c>
      <c r="F1841" t="s">
        <v>7073</v>
      </c>
      <c r="G1841" t="s">
        <v>7058</v>
      </c>
      <c r="H1841" t="str">
        <f>"01282 226820"</f>
        <v>01282 226820</v>
      </c>
    </row>
    <row r="1842" spans="1:8">
      <c r="A1842" t="s">
        <v>7074</v>
      </c>
      <c r="B1842" t="s">
        <v>7075</v>
      </c>
      <c r="C1842" t="s">
        <v>7076</v>
      </c>
      <c r="D1842" t="s">
        <v>297</v>
      </c>
      <c r="F1842" t="s">
        <v>7077</v>
      </c>
      <c r="G1842" t="s">
        <v>7078</v>
      </c>
      <c r="H1842" t="str">
        <f>"0161 552 0144"</f>
        <v>0161 552 0144</v>
      </c>
    </row>
    <row r="1843" spans="1:8">
      <c r="A1843" t="s">
        <v>7079</v>
      </c>
      <c r="B1843" t="s">
        <v>7080</v>
      </c>
      <c r="C1843" t="s">
        <v>7081</v>
      </c>
      <c r="D1843" t="s">
        <v>2777</v>
      </c>
      <c r="E1843" t="s">
        <v>132</v>
      </c>
      <c r="F1843" t="s">
        <v>7082</v>
      </c>
      <c r="G1843" t="s">
        <v>7083</v>
      </c>
      <c r="H1843" t="str">
        <f>"01706 213565"</f>
        <v>01706 213565</v>
      </c>
    </row>
    <row r="1844" spans="1:8">
      <c r="A1844" t="s">
        <v>7084</v>
      </c>
      <c r="B1844" t="s">
        <v>7085</v>
      </c>
      <c r="D1844" t="s">
        <v>3655</v>
      </c>
      <c r="E1844" t="s">
        <v>171</v>
      </c>
      <c r="F1844" t="s">
        <v>7086</v>
      </c>
      <c r="G1844" t="s">
        <v>7087</v>
      </c>
      <c r="H1844" t="str">
        <f>"01304 206850"</f>
        <v>01304 206850</v>
      </c>
    </row>
    <row r="1845" spans="1:8">
      <c r="A1845" t="s">
        <v>7084</v>
      </c>
      <c r="B1845" t="s">
        <v>7088</v>
      </c>
      <c r="D1845" t="s">
        <v>7089</v>
      </c>
      <c r="E1845" t="s">
        <v>171</v>
      </c>
      <c r="F1845" t="s">
        <v>7090</v>
      </c>
      <c r="G1845" t="s">
        <v>7087</v>
      </c>
      <c r="H1845" t="str">
        <f>"01304 206850"</f>
        <v>01304 206850</v>
      </c>
    </row>
    <row r="1846" spans="1:8">
      <c r="A1846" t="s">
        <v>7084</v>
      </c>
      <c r="B1846" t="s">
        <v>7091</v>
      </c>
      <c r="D1846" t="s">
        <v>7092</v>
      </c>
      <c r="E1846" t="s">
        <v>171</v>
      </c>
      <c r="F1846" t="s">
        <v>7093</v>
      </c>
      <c r="G1846" t="s">
        <v>7087</v>
      </c>
      <c r="H1846" t="str">
        <f>"01304 206850"</f>
        <v>01304 206850</v>
      </c>
    </row>
    <row r="1847" spans="1:8">
      <c r="A1847" t="s">
        <v>7094</v>
      </c>
      <c r="B1847" t="s">
        <v>7095</v>
      </c>
      <c r="C1847" t="s">
        <v>7096</v>
      </c>
      <c r="D1847" t="s">
        <v>505</v>
      </c>
      <c r="E1847" t="s">
        <v>502</v>
      </c>
      <c r="F1847" t="s">
        <v>7097</v>
      </c>
      <c r="G1847" t="s">
        <v>7098</v>
      </c>
      <c r="H1847" t="str">
        <f>"01903 228200"</f>
        <v>01903 228200</v>
      </c>
    </row>
    <row r="1848" spans="1:8">
      <c r="A1848" t="s">
        <v>7094</v>
      </c>
      <c r="B1848" t="s">
        <v>7099</v>
      </c>
      <c r="C1848" t="s">
        <v>7100</v>
      </c>
      <c r="D1848" t="s">
        <v>1779</v>
      </c>
      <c r="E1848" t="s">
        <v>502</v>
      </c>
      <c r="F1848" t="s">
        <v>7101</v>
      </c>
      <c r="G1848" t="s">
        <v>7098</v>
      </c>
      <c r="H1848" t="str">
        <f>"01243 778844"</f>
        <v>01243 778844</v>
      </c>
    </row>
    <row r="1849" spans="1:8">
      <c r="A1849" t="s">
        <v>7094</v>
      </c>
      <c r="B1849" t="s">
        <v>7102</v>
      </c>
      <c r="D1849" t="s">
        <v>7103</v>
      </c>
      <c r="E1849" t="s">
        <v>502</v>
      </c>
      <c r="F1849" t="s">
        <v>7104</v>
      </c>
      <c r="G1849" t="s">
        <v>7098</v>
      </c>
      <c r="H1849" t="str">
        <f>"01243 778844"</f>
        <v>01243 778844</v>
      </c>
    </row>
    <row r="1850" spans="1:8">
      <c r="A1850" t="s">
        <v>7094</v>
      </c>
      <c r="B1850" t="s">
        <v>7105</v>
      </c>
      <c r="D1850" t="s">
        <v>7106</v>
      </c>
      <c r="E1850" t="s">
        <v>7107</v>
      </c>
      <c r="F1850" t="s">
        <v>7108</v>
      </c>
      <c r="G1850" t="s">
        <v>7098</v>
      </c>
      <c r="H1850" t="str">
        <f>"01903 791903"</f>
        <v>01903 791903</v>
      </c>
    </row>
    <row r="1851" spans="1:8">
      <c r="A1851" t="s">
        <v>7094</v>
      </c>
      <c r="B1851" t="s">
        <v>7109</v>
      </c>
      <c r="D1851" t="s">
        <v>120</v>
      </c>
      <c r="F1851" t="s">
        <v>7110</v>
      </c>
      <c r="G1851" t="s">
        <v>7098</v>
      </c>
      <c r="H1851" t="str">
        <f>"01329 236171"</f>
        <v>01329 236171</v>
      </c>
    </row>
    <row r="1852" spans="1:8">
      <c r="A1852" t="s">
        <v>7094</v>
      </c>
      <c r="B1852" t="s">
        <v>7112</v>
      </c>
      <c r="D1852" t="s">
        <v>7111</v>
      </c>
      <c r="F1852" t="s">
        <v>7113</v>
      </c>
      <c r="G1852" t="s">
        <v>7114</v>
      </c>
      <c r="H1852" t="str">
        <f>"0239282131"</f>
        <v>0239282131</v>
      </c>
    </row>
    <row r="1853" spans="1:8">
      <c r="A1853" t="s">
        <v>7115</v>
      </c>
      <c r="B1853" t="s">
        <v>7116</v>
      </c>
      <c r="D1853" t="s">
        <v>674</v>
      </c>
      <c r="E1853" t="s">
        <v>280</v>
      </c>
      <c r="F1853" t="s">
        <v>7117</v>
      </c>
      <c r="G1853" t="s">
        <v>7118</v>
      </c>
      <c r="H1853" t="str">
        <f>"01274 452104"</f>
        <v>01274 452104</v>
      </c>
    </row>
    <row r="1854" spans="1:8">
      <c r="A1854" t="s">
        <v>7115</v>
      </c>
      <c r="B1854" t="s">
        <v>7119</v>
      </c>
      <c r="C1854" t="s">
        <v>2759</v>
      </c>
      <c r="D1854" t="s">
        <v>355</v>
      </c>
      <c r="E1854" t="s">
        <v>280</v>
      </c>
      <c r="F1854" t="s">
        <v>7120</v>
      </c>
      <c r="G1854" t="s">
        <v>7121</v>
      </c>
      <c r="H1854" t="str">
        <f>"0113 3225333"</f>
        <v>0113 3225333</v>
      </c>
    </row>
    <row r="1855" spans="1:8">
      <c r="A1855" t="s">
        <v>7122</v>
      </c>
      <c r="B1855" t="s">
        <v>7123</v>
      </c>
      <c r="D1855" t="s">
        <v>4418</v>
      </c>
      <c r="E1855" t="s">
        <v>7124</v>
      </c>
      <c r="F1855" t="s">
        <v>7125</v>
      </c>
      <c r="G1855" t="s">
        <v>7126</v>
      </c>
      <c r="H1855" t="str">
        <f>"01978 291322"</f>
        <v>01978 291322</v>
      </c>
    </row>
    <row r="1856" spans="1:8">
      <c r="A1856" t="s">
        <v>7122</v>
      </c>
      <c r="B1856" t="s">
        <v>7127</v>
      </c>
      <c r="D1856" t="s">
        <v>3930</v>
      </c>
      <c r="E1856" t="s">
        <v>3932</v>
      </c>
      <c r="F1856" t="s">
        <v>7128</v>
      </c>
      <c r="G1856" t="s">
        <v>7126</v>
      </c>
      <c r="H1856" t="str">
        <f>"01352 753882"</f>
        <v>01352 753882</v>
      </c>
    </row>
    <row r="1857" spans="1:8">
      <c r="A1857" t="s">
        <v>7129</v>
      </c>
      <c r="B1857" t="s">
        <v>7130</v>
      </c>
      <c r="D1857" t="s">
        <v>355</v>
      </c>
      <c r="E1857" t="s">
        <v>280</v>
      </c>
      <c r="F1857" t="s">
        <v>6168</v>
      </c>
      <c r="G1857" t="s">
        <v>7131</v>
      </c>
      <c r="H1857" t="str">
        <f>"0113 244 6100"</f>
        <v>0113 244 6100</v>
      </c>
    </row>
    <row r="1858" spans="1:8">
      <c r="A1858" t="s">
        <v>7129</v>
      </c>
      <c r="B1858" t="s">
        <v>7132</v>
      </c>
      <c r="C1858" t="s">
        <v>7133</v>
      </c>
      <c r="D1858" t="s">
        <v>1024</v>
      </c>
      <c r="F1858" t="s">
        <v>7134</v>
      </c>
      <c r="G1858" t="s">
        <v>7131</v>
      </c>
      <c r="H1858" t="str">
        <f>"0114 267 5588"</f>
        <v>0114 267 5588</v>
      </c>
    </row>
    <row r="1859" spans="1:8">
      <c r="A1859" t="s">
        <v>7135</v>
      </c>
      <c r="B1859" t="s">
        <v>7136</v>
      </c>
      <c r="C1859" t="s">
        <v>7137</v>
      </c>
      <c r="D1859" t="s">
        <v>124</v>
      </c>
      <c r="E1859" t="s">
        <v>121</v>
      </c>
      <c r="F1859" t="s">
        <v>7138</v>
      </c>
      <c r="G1859" t="s">
        <v>7139</v>
      </c>
      <c r="H1859" t="str">
        <f>"02380632733"</f>
        <v>02380632733</v>
      </c>
    </row>
    <row r="1860" spans="1:8">
      <c r="A1860" t="s">
        <v>7135</v>
      </c>
      <c r="B1860" t="s">
        <v>7141</v>
      </c>
      <c r="C1860" t="s">
        <v>7140</v>
      </c>
      <c r="D1860" t="s">
        <v>7140</v>
      </c>
      <c r="E1860" t="s">
        <v>1533</v>
      </c>
      <c r="F1860" t="s">
        <v>7142</v>
      </c>
      <c r="G1860" t="s">
        <v>7139</v>
      </c>
      <c r="H1860" t="str">
        <f>"02380842765"</f>
        <v>02380842765</v>
      </c>
    </row>
    <row r="1861" spans="1:8">
      <c r="A1861" t="s">
        <v>7135</v>
      </c>
      <c r="B1861" t="s">
        <v>7143</v>
      </c>
      <c r="C1861" t="s">
        <v>1537</v>
      </c>
      <c r="D1861" t="s">
        <v>1533</v>
      </c>
      <c r="F1861" t="s">
        <v>7144</v>
      </c>
      <c r="G1861" t="s">
        <v>7139</v>
      </c>
      <c r="H1861" t="str">
        <f>"02380871144"</f>
        <v>02380871144</v>
      </c>
    </row>
    <row r="1862" spans="1:8">
      <c r="A1862" t="s">
        <v>7145</v>
      </c>
      <c r="B1862" t="s">
        <v>7146</v>
      </c>
      <c r="D1862" t="s">
        <v>57</v>
      </c>
      <c r="F1862" t="s">
        <v>7147</v>
      </c>
      <c r="G1862" t="s">
        <v>7148</v>
      </c>
      <c r="H1862" t="str">
        <f>"02084440202"</f>
        <v>02084440202</v>
      </c>
    </row>
    <row r="1863" spans="1:8">
      <c r="A1863" t="s">
        <v>7149</v>
      </c>
      <c r="B1863" t="s">
        <v>7150</v>
      </c>
      <c r="C1863" t="s">
        <v>7151</v>
      </c>
      <c r="D1863" t="s">
        <v>355</v>
      </c>
      <c r="E1863" t="s">
        <v>280</v>
      </c>
      <c r="F1863" t="s">
        <v>7152</v>
      </c>
      <c r="G1863" t="s">
        <v>7153</v>
      </c>
      <c r="H1863" t="str">
        <f>"01132321919"</f>
        <v>01132321919</v>
      </c>
    </row>
    <row r="1864" spans="1:8">
      <c r="A1864" t="s">
        <v>7154</v>
      </c>
      <c r="B1864" t="s">
        <v>7155</v>
      </c>
      <c r="C1864" t="s">
        <v>7156</v>
      </c>
      <c r="D1864" t="s">
        <v>552</v>
      </c>
      <c r="E1864" t="s">
        <v>309</v>
      </c>
      <c r="F1864" t="s">
        <v>7157</v>
      </c>
      <c r="G1864" t="s">
        <v>7158</v>
      </c>
      <c r="H1864" t="str">
        <f>"01752 660384"</f>
        <v>01752 660384</v>
      </c>
    </row>
    <row r="1865" spans="1:8">
      <c r="A1865" t="s">
        <v>7159</v>
      </c>
      <c r="B1865" t="s">
        <v>7160</v>
      </c>
      <c r="D1865" t="s">
        <v>774</v>
      </c>
      <c r="E1865" t="s">
        <v>775</v>
      </c>
      <c r="F1865" t="s">
        <v>7161</v>
      </c>
      <c r="G1865" t="s">
        <v>7162</v>
      </c>
      <c r="H1865" t="str">
        <f>"0116 2733091"</f>
        <v>0116 2733091</v>
      </c>
    </row>
    <row r="1866" spans="1:8">
      <c r="A1866" t="s">
        <v>7163</v>
      </c>
      <c r="B1866" t="s">
        <v>7164</v>
      </c>
      <c r="D1866" t="s">
        <v>1309</v>
      </c>
      <c r="E1866" t="s">
        <v>132</v>
      </c>
      <c r="F1866" t="s">
        <v>7165</v>
      </c>
      <c r="G1866" t="s">
        <v>7166</v>
      </c>
      <c r="H1866" t="str">
        <f>"01695573202"</f>
        <v>01695573202</v>
      </c>
    </row>
    <row r="1867" spans="1:8">
      <c r="A1867" t="s">
        <v>7163</v>
      </c>
      <c r="B1867" t="s">
        <v>7168</v>
      </c>
      <c r="D1867" t="s">
        <v>7167</v>
      </c>
      <c r="E1867" t="s">
        <v>132</v>
      </c>
      <c r="F1867" t="s">
        <v>7169</v>
      </c>
      <c r="G1867" t="s">
        <v>7170</v>
      </c>
      <c r="H1867" t="str">
        <f>"01695 717000"</f>
        <v>01695 717000</v>
      </c>
    </row>
    <row r="1868" spans="1:8">
      <c r="A1868" t="s">
        <v>7171</v>
      </c>
      <c r="B1868" t="s">
        <v>7172</v>
      </c>
      <c r="D1868" t="s">
        <v>355</v>
      </c>
      <c r="E1868" t="s">
        <v>280</v>
      </c>
      <c r="F1868" t="s">
        <v>7173</v>
      </c>
      <c r="G1868" t="s">
        <v>7174</v>
      </c>
      <c r="H1868" t="str">
        <f>"01132644414 "</f>
        <v xml:space="preserve">01132644414 </v>
      </c>
    </row>
    <row r="1869" spans="1:8">
      <c r="A1869" t="s">
        <v>7171</v>
      </c>
      <c r="B1869" t="s">
        <v>7176</v>
      </c>
      <c r="C1869" t="s">
        <v>7175</v>
      </c>
      <c r="D1869" t="s">
        <v>355</v>
      </c>
      <c r="E1869" t="s">
        <v>280</v>
      </c>
      <c r="F1869" t="s">
        <v>7177</v>
      </c>
      <c r="G1869" t="s">
        <v>7174</v>
      </c>
      <c r="H1869" t="str">
        <f>"0113 2603115"</f>
        <v>0113 2603115</v>
      </c>
    </row>
    <row r="1870" spans="1:8">
      <c r="A1870" t="s">
        <v>7171</v>
      </c>
      <c r="B1870" t="s">
        <v>7178</v>
      </c>
      <c r="C1870" t="s">
        <v>6514</v>
      </c>
      <c r="D1870" t="s">
        <v>355</v>
      </c>
      <c r="E1870" t="s">
        <v>280</v>
      </c>
      <c r="F1870" t="s">
        <v>7179</v>
      </c>
      <c r="G1870" t="s">
        <v>7174</v>
      </c>
      <c r="H1870" t="str">
        <f>"0113 2824939"</f>
        <v>0113 2824939</v>
      </c>
    </row>
    <row r="1871" spans="1:8">
      <c r="A1871" t="s">
        <v>7180</v>
      </c>
      <c r="B1871" t="s">
        <v>7181</v>
      </c>
      <c r="D1871" t="s">
        <v>3460</v>
      </c>
      <c r="E1871" t="s">
        <v>132</v>
      </c>
      <c r="F1871" t="s">
        <v>6688</v>
      </c>
      <c r="G1871" t="s">
        <v>7182</v>
      </c>
      <c r="H1871" t="str">
        <f>"01253772128"</f>
        <v>01253772128</v>
      </c>
    </row>
    <row r="1872" spans="1:8">
      <c r="A1872" t="s">
        <v>7180</v>
      </c>
      <c r="B1872" t="s">
        <v>7183</v>
      </c>
      <c r="D1872" t="s">
        <v>7184</v>
      </c>
      <c r="E1872" t="s">
        <v>132</v>
      </c>
      <c r="F1872" t="s">
        <v>7185</v>
      </c>
      <c r="G1872" t="s">
        <v>7182</v>
      </c>
      <c r="H1872" t="str">
        <f>"01253 892028"</f>
        <v>01253 892028</v>
      </c>
    </row>
    <row r="1873" spans="1:8">
      <c r="A1873" t="s">
        <v>7186</v>
      </c>
      <c r="B1873" t="s">
        <v>7187</v>
      </c>
      <c r="C1873" t="s">
        <v>7188</v>
      </c>
      <c r="D1873" t="s">
        <v>286</v>
      </c>
      <c r="E1873" t="s">
        <v>1033</v>
      </c>
      <c r="F1873" t="s">
        <v>7189</v>
      </c>
      <c r="G1873" t="s">
        <v>7190</v>
      </c>
      <c r="H1873" t="str">
        <f>"01246231288"</f>
        <v>01246231288</v>
      </c>
    </row>
    <row r="1874" spans="1:8">
      <c r="A1874" t="s">
        <v>7186</v>
      </c>
      <c r="B1874" t="s">
        <v>7191</v>
      </c>
      <c r="D1874" t="s">
        <v>2739</v>
      </c>
      <c r="E1874" t="s">
        <v>410</v>
      </c>
      <c r="F1874" t="s">
        <v>7192</v>
      </c>
      <c r="G1874" t="s">
        <v>7193</v>
      </c>
      <c r="H1874" t="str">
        <f>"01623 655666"</f>
        <v>01623 655666</v>
      </c>
    </row>
    <row r="1875" spans="1:8">
      <c r="A1875" t="s">
        <v>7186</v>
      </c>
      <c r="B1875" t="s">
        <v>7194</v>
      </c>
      <c r="C1875" t="s">
        <v>7195</v>
      </c>
      <c r="D1875" t="s">
        <v>5134</v>
      </c>
      <c r="E1875" t="s">
        <v>1033</v>
      </c>
      <c r="F1875" t="s">
        <v>7196</v>
      </c>
      <c r="G1875" t="s">
        <v>7197</v>
      </c>
      <c r="H1875" t="str">
        <f>"01332 372311"</f>
        <v>01332 372311</v>
      </c>
    </row>
    <row r="1876" spans="1:8">
      <c r="A1876" t="s">
        <v>7186</v>
      </c>
      <c r="B1876" t="s">
        <v>7198</v>
      </c>
      <c r="D1876" t="s">
        <v>409</v>
      </c>
      <c r="E1876" t="s">
        <v>410</v>
      </c>
      <c r="F1876" t="s">
        <v>7199</v>
      </c>
      <c r="G1876" t="s">
        <v>7200</v>
      </c>
      <c r="H1876" t="str">
        <f>"01157 043388"</f>
        <v>01157 043388</v>
      </c>
    </row>
    <row r="1877" spans="1:8">
      <c r="A1877" t="s">
        <v>7201</v>
      </c>
      <c r="B1877" t="s">
        <v>7202</v>
      </c>
      <c r="C1877" t="s">
        <v>7203</v>
      </c>
      <c r="D1877" t="s">
        <v>5269</v>
      </c>
      <c r="E1877" t="s">
        <v>736</v>
      </c>
      <c r="F1877" t="s">
        <v>7204</v>
      </c>
      <c r="G1877" t="s">
        <v>7205</v>
      </c>
      <c r="H1877" t="str">
        <f>"01206 576151"</f>
        <v>01206 576151</v>
      </c>
    </row>
    <row r="1878" spans="1:8">
      <c r="A1878" t="s">
        <v>7201</v>
      </c>
      <c r="B1878" t="s">
        <v>7207</v>
      </c>
      <c r="C1878" t="s">
        <v>7206</v>
      </c>
      <c r="D1878" t="s">
        <v>5269</v>
      </c>
      <c r="E1878" t="s">
        <v>736</v>
      </c>
      <c r="F1878" t="s">
        <v>7208</v>
      </c>
      <c r="G1878" t="s">
        <v>7209</v>
      </c>
      <c r="H1878" t="str">
        <f>"01206 302694"</f>
        <v>01206 302694</v>
      </c>
    </row>
    <row r="1879" spans="1:8">
      <c r="A1879" t="s">
        <v>7210</v>
      </c>
      <c r="B1879" t="s">
        <v>7211</v>
      </c>
      <c r="C1879" t="s">
        <v>7212</v>
      </c>
      <c r="D1879" t="s">
        <v>297</v>
      </c>
      <c r="E1879" t="s">
        <v>132</v>
      </c>
      <c r="F1879" t="s">
        <v>7213</v>
      </c>
      <c r="G1879" t="s">
        <v>7214</v>
      </c>
      <c r="H1879" t="str">
        <f>"0161 860 7123"</f>
        <v>0161 860 7123</v>
      </c>
    </row>
    <row r="1880" spans="1:8">
      <c r="A1880" t="s">
        <v>7210</v>
      </c>
      <c r="B1880" t="s">
        <v>7215</v>
      </c>
      <c r="C1880" t="s">
        <v>7216</v>
      </c>
      <c r="D1880" t="s">
        <v>563</v>
      </c>
      <c r="E1880" t="s">
        <v>569</v>
      </c>
      <c r="F1880" t="s">
        <v>7217</v>
      </c>
      <c r="G1880" t="s">
        <v>7214</v>
      </c>
      <c r="H1880" t="str">
        <f>"0161 681 4005"</f>
        <v>0161 681 4005</v>
      </c>
    </row>
    <row r="1881" spans="1:8">
      <c r="A1881" t="s">
        <v>7210</v>
      </c>
      <c r="B1881" t="s">
        <v>7218</v>
      </c>
      <c r="D1881" t="s">
        <v>770</v>
      </c>
      <c r="E1881" t="s">
        <v>132</v>
      </c>
      <c r="F1881" t="s">
        <v>7219</v>
      </c>
      <c r="G1881" t="s">
        <v>7214</v>
      </c>
      <c r="H1881" t="str">
        <f>"0161 839 0092"</f>
        <v>0161 839 0092</v>
      </c>
    </row>
    <row r="1882" spans="1:8">
      <c r="A1882" t="s">
        <v>7220</v>
      </c>
      <c r="B1882" t="s">
        <v>7221</v>
      </c>
      <c r="D1882" t="s">
        <v>7222</v>
      </c>
      <c r="E1882" t="s">
        <v>1007</v>
      </c>
      <c r="F1882" t="s">
        <v>7223</v>
      </c>
      <c r="G1882" t="s">
        <v>7224</v>
      </c>
      <c r="H1882" t="str">
        <f>"01938 552727"</f>
        <v>01938 552727</v>
      </c>
    </row>
    <row r="1883" spans="1:8">
      <c r="A1883" t="s">
        <v>7225</v>
      </c>
      <c r="B1883" t="s">
        <v>7226</v>
      </c>
      <c r="C1883" t="s">
        <v>7227</v>
      </c>
      <c r="D1883" t="s">
        <v>6219</v>
      </c>
      <c r="E1883" t="s">
        <v>16</v>
      </c>
      <c r="F1883" t="s">
        <v>7228</v>
      </c>
      <c r="G1883" t="s">
        <v>7229</v>
      </c>
      <c r="H1883" t="str">
        <f>"01384 447777"</f>
        <v>01384 447777</v>
      </c>
    </row>
    <row r="1884" spans="1:8">
      <c r="A1884" t="s">
        <v>7225</v>
      </c>
      <c r="B1884" t="s">
        <v>7231</v>
      </c>
      <c r="D1884" t="s">
        <v>7230</v>
      </c>
      <c r="E1884" t="s">
        <v>236</v>
      </c>
      <c r="F1884" t="s">
        <v>7232</v>
      </c>
      <c r="G1884" t="s">
        <v>7233</v>
      </c>
      <c r="H1884" t="str">
        <f>"01902 843427"</f>
        <v>01902 843427</v>
      </c>
    </row>
    <row r="1885" spans="1:8">
      <c r="A1885" t="s">
        <v>7225</v>
      </c>
      <c r="B1885" t="s">
        <v>7235</v>
      </c>
      <c r="D1885" t="s">
        <v>7234</v>
      </c>
      <c r="E1885" t="s">
        <v>16</v>
      </c>
      <c r="F1885" t="s">
        <v>7236</v>
      </c>
      <c r="G1885" t="s">
        <v>7237</v>
      </c>
      <c r="H1885" t="str">
        <f>"0121 647 3970"</f>
        <v>0121 647 3970</v>
      </c>
    </row>
    <row r="1886" spans="1:8">
      <c r="A1886" t="s">
        <v>7225</v>
      </c>
      <c r="B1886" t="s">
        <v>7238</v>
      </c>
      <c r="D1886" t="s">
        <v>97</v>
      </c>
      <c r="E1886" t="s">
        <v>11</v>
      </c>
      <c r="F1886" t="s">
        <v>7239</v>
      </c>
      <c r="G1886" t="s">
        <v>7240</v>
      </c>
      <c r="H1886" t="str">
        <f>"01562 749910"</f>
        <v>01562 749910</v>
      </c>
    </row>
    <row r="1887" spans="1:8">
      <c r="A1887" t="s">
        <v>7225</v>
      </c>
      <c r="B1887" t="s">
        <v>7241</v>
      </c>
      <c r="D1887" t="s">
        <v>1111</v>
      </c>
      <c r="E1887" t="s">
        <v>16</v>
      </c>
      <c r="F1887" t="s">
        <v>7242</v>
      </c>
      <c r="G1887" t="s">
        <v>7243</v>
      </c>
      <c r="H1887" t="str">
        <f>"01902 427561"</f>
        <v>01902 427561</v>
      </c>
    </row>
    <row r="1888" spans="1:8">
      <c r="A1888" t="s">
        <v>7225</v>
      </c>
      <c r="B1888" t="s">
        <v>7245</v>
      </c>
      <c r="D1888" t="s">
        <v>7244</v>
      </c>
      <c r="F1888" t="s">
        <v>7246</v>
      </c>
      <c r="G1888" t="s">
        <v>7247</v>
      </c>
      <c r="H1888" t="str">
        <f>"01384 445850"</f>
        <v>01384 445850</v>
      </c>
    </row>
    <row r="1889" spans="1:8">
      <c r="A1889" t="s">
        <v>7225</v>
      </c>
      <c r="B1889" t="s">
        <v>7248</v>
      </c>
      <c r="D1889" t="s">
        <v>4570</v>
      </c>
      <c r="E1889" t="s">
        <v>14</v>
      </c>
      <c r="F1889" t="s">
        <v>7249</v>
      </c>
      <c r="G1889" t="s">
        <v>7250</v>
      </c>
      <c r="H1889" t="str">
        <f>"01214563696"</f>
        <v>01214563696</v>
      </c>
    </row>
    <row r="1890" spans="1:8">
      <c r="A1890" t="s">
        <v>7225</v>
      </c>
      <c r="B1890" t="s">
        <v>7251</v>
      </c>
      <c r="C1890" t="s">
        <v>7252</v>
      </c>
      <c r="D1890" t="s">
        <v>1674</v>
      </c>
      <c r="E1890" t="s">
        <v>16</v>
      </c>
      <c r="F1890" t="s">
        <v>7253</v>
      </c>
      <c r="G1890" t="s">
        <v>7254</v>
      </c>
      <c r="H1890" t="str">
        <f>"01384 447777"</f>
        <v>01384 447777</v>
      </c>
    </row>
    <row r="1891" spans="1:8">
      <c r="A1891" t="s">
        <v>7225</v>
      </c>
      <c r="B1891" t="s">
        <v>7255</v>
      </c>
      <c r="D1891" t="s">
        <v>3938</v>
      </c>
      <c r="F1891" t="s">
        <v>7256</v>
      </c>
      <c r="G1891" t="s">
        <v>7257</v>
      </c>
      <c r="H1891" t="str">
        <f>"024 7655 3181"</f>
        <v>024 7655 3181</v>
      </c>
    </row>
    <row r="1892" spans="1:8">
      <c r="A1892" t="s">
        <v>7225</v>
      </c>
      <c r="B1892" t="s">
        <v>7259</v>
      </c>
      <c r="C1892" t="s">
        <v>7260</v>
      </c>
      <c r="D1892" t="s">
        <v>7258</v>
      </c>
      <c r="F1892" t="s">
        <v>7261</v>
      </c>
      <c r="G1892" t="s">
        <v>7262</v>
      </c>
      <c r="H1892" t="str">
        <f>"01299 402741"</f>
        <v>01299 402741</v>
      </c>
    </row>
    <row r="1893" spans="1:8">
      <c r="A1893" t="s">
        <v>7225</v>
      </c>
      <c r="B1893" t="s">
        <v>7263</v>
      </c>
      <c r="D1893" t="s">
        <v>20</v>
      </c>
      <c r="F1893" t="s">
        <v>7264</v>
      </c>
      <c r="G1893" t="s">
        <v>7265</v>
      </c>
      <c r="H1893" t="str">
        <f>"01905 727700"</f>
        <v>01905 727700</v>
      </c>
    </row>
    <row r="1894" spans="1:8">
      <c r="A1894" t="s">
        <v>7225</v>
      </c>
      <c r="B1894" t="s">
        <v>7266</v>
      </c>
      <c r="D1894" t="s">
        <v>1107</v>
      </c>
      <c r="F1894" t="s">
        <v>7267</v>
      </c>
      <c r="G1894" t="s">
        <v>7268</v>
      </c>
      <c r="H1894" t="str">
        <f>"01630 652405"</f>
        <v>01630 652405</v>
      </c>
    </row>
    <row r="1895" spans="1:8">
      <c r="A1895" t="s">
        <v>7225</v>
      </c>
      <c r="B1895" t="s">
        <v>7269</v>
      </c>
      <c r="C1895" t="s">
        <v>7270</v>
      </c>
      <c r="D1895" t="s">
        <v>5314</v>
      </c>
      <c r="F1895" t="s">
        <v>7271</v>
      </c>
      <c r="G1895" t="s">
        <v>7272</v>
      </c>
      <c r="H1895" t="str">
        <f>"01782 262031"</f>
        <v>01782 262031</v>
      </c>
    </row>
    <row r="1896" spans="1:8">
      <c r="A1896" t="s">
        <v>7225</v>
      </c>
      <c r="B1896" t="s">
        <v>7273</v>
      </c>
      <c r="D1896" t="s">
        <v>490</v>
      </c>
      <c r="F1896" t="s">
        <v>7274</v>
      </c>
      <c r="G1896" t="s">
        <v>7272</v>
      </c>
      <c r="H1896" t="str">
        <f>"01538 399332"</f>
        <v>01538 399332</v>
      </c>
    </row>
    <row r="1897" spans="1:8">
      <c r="A1897" t="s">
        <v>7225</v>
      </c>
      <c r="B1897" t="s">
        <v>7275</v>
      </c>
      <c r="D1897" t="s">
        <v>649</v>
      </c>
      <c r="F1897" t="s">
        <v>7276</v>
      </c>
      <c r="G1897" t="s">
        <v>7272</v>
      </c>
      <c r="H1897" t="str">
        <f>"01782 652300"</f>
        <v>01782 652300</v>
      </c>
    </row>
    <row r="1898" spans="1:8">
      <c r="A1898" t="s">
        <v>7225</v>
      </c>
      <c r="B1898" t="s">
        <v>7277</v>
      </c>
      <c r="C1898" t="s">
        <v>7278</v>
      </c>
      <c r="D1898" t="s">
        <v>4936</v>
      </c>
      <c r="E1898" t="s">
        <v>104</v>
      </c>
      <c r="F1898" t="s">
        <v>7279</v>
      </c>
      <c r="G1898" t="s">
        <v>7272</v>
      </c>
      <c r="H1898" t="str">
        <f>"0800 118 1500"</f>
        <v>0800 118 1500</v>
      </c>
    </row>
    <row r="1899" spans="1:8">
      <c r="A1899" t="s">
        <v>7225</v>
      </c>
      <c r="B1899" t="s">
        <v>7280</v>
      </c>
      <c r="D1899" t="s">
        <v>4630</v>
      </c>
      <c r="F1899" t="s">
        <v>7281</v>
      </c>
      <c r="G1899" t="s">
        <v>7282</v>
      </c>
      <c r="H1899" t="str">
        <f>"01384 984330"</f>
        <v>01384 984330</v>
      </c>
    </row>
    <row r="1900" spans="1:8">
      <c r="A1900" t="s">
        <v>7283</v>
      </c>
      <c r="B1900" t="s">
        <v>7284</v>
      </c>
      <c r="D1900" t="s">
        <v>253</v>
      </c>
      <c r="F1900" t="s">
        <v>7285</v>
      </c>
      <c r="G1900" t="s">
        <v>7286</v>
      </c>
      <c r="H1900" t="str">
        <f>"01642 885555"</f>
        <v>01642 885555</v>
      </c>
    </row>
    <row r="1901" spans="1:8">
      <c r="A1901" t="s">
        <v>7287</v>
      </c>
      <c r="B1901" t="s">
        <v>7288</v>
      </c>
      <c r="D1901" t="s">
        <v>3938</v>
      </c>
      <c r="E1901" t="s">
        <v>16</v>
      </c>
      <c r="F1901" t="s">
        <v>7289</v>
      </c>
      <c r="G1901" t="s">
        <v>7290</v>
      </c>
      <c r="H1901" t="str">
        <f>"02476631212"</f>
        <v>02476631212</v>
      </c>
    </row>
    <row r="1902" spans="1:8">
      <c r="A1902" t="s">
        <v>7287</v>
      </c>
      <c r="B1902" t="s">
        <v>7291</v>
      </c>
      <c r="D1902" t="s">
        <v>7292</v>
      </c>
      <c r="E1902" t="s">
        <v>1200</v>
      </c>
      <c r="F1902" t="s">
        <v>7293</v>
      </c>
      <c r="G1902" t="s">
        <v>7290</v>
      </c>
      <c r="H1902" t="str">
        <f>"01926 857631"</f>
        <v>01926 857631</v>
      </c>
    </row>
    <row r="1903" spans="1:8">
      <c r="A1903" t="s">
        <v>7294</v>
      </c>
      <c r="B1903" t="s">
        <v>7295</v>
      </c>
      <c r="D1903" t="s">
        <v>946</v>
      </c>
      <c r="E1903" t="s">
        <v>369</v>
      </c>
      <c r="F1903" t="s">
        <v>7296</v>
      </c>
      <c r="G1903" t="s">
        <v>7297</v>
      </c>
      <c r="H1903" t="str">
        <f>"01945 583194"</f>
        <v>01945 583194</v>
      </c>
    </row>
    <row r="1904" spans="1:8">
      <c r="A1904" t="s">
        <v>7294</v>
      </c>
      <c r="B1904" t="s">
        <v>2753</v>
      </c>
      <c r="D1904" t="s">
        <v>951</v>
      </c>
      <c r="E1904" t="s">
        <v>369</v>
      </c>
      <c r="F1904" t="s">
        <v>7298</v>
      </c>
      <c r="G1904" t="s">
        <v>7297</v>
      </c>
      <c r="H1904" t="str">
        <f>"01354 652606"</f>
        <v>01354 652606</v>
      </c>
    </row>
    <row r="1905" spans="1:8">
      <c r="A1905" t="s">
        <v>7299</v>
      </c>
      <c r="B1905" t="s">
        <v>7300</v>
      </c>
      <c r="D1905" t="s">
        <v>580</v>
      </c>
      <c r="E1905" t="s">
        <v>502</v>
      </c>
      <c r="F1905" t="s">
        <v>7301</v>
      </c>
      <c r="G1905" t="s">
        <v>7302</v>
      </c>
      <c r="H1905" t="str">
        <f>"01444 411333"</f>
        <v>01444 411333</v>
      </c>
    </row>
    <row r="1906" spans="1:8">
      <c r="A1906" t="s">
        <v>7303</v>
      </c>
      <c r="B1906" t="s">
        <v>7304</v>
      </c>
      <c r="D1906" t="s">
        <v>549</v>
      </c>
      <c r="E1906" t="s">
        <v>309</v>
      </c>
      <c r="F1906" t="s">
        <v>7305</v>
      </c>
      <c r="G1906" t="s">
        <v>7306</v>
      </c>
      <c r="H1906" t="str">
        <f>"01392 207020"</f>
        <v>01392 207020</v>
      </c>
    </row>
    <row r="1907" spans="1:8">
      <c r="A1907" t="s">
        <v>7303</v>
      </c>
      <c r="B1907" t="s">
        <v>7307</v>
      </c>
      <c r="D1907" t="s">
        <v>6300</v>
      </c>
      <c r="E1907" t="s">
        <v>309</v>
      </c>
      <c r="F1907" t="s">
        <v>7308</v>
      </c>
      <c r="G1907" t="s">
        <v>7309</v>
      </c>
      <c r="H1907" t="str">
        <f>"01626 772376"</f>
        <v>01626 772376</v>
      </c>
    </row>
    <row r="1908" spans="1:8">
      <c r="A1908" t="s">
        <v>7303</v>
      </c>
      <c r="B1908" t="s">
        <v>7310</v>
      </c>
      <c r="D1908" t="s">
        <v>3882</v>
      </c>
      <c r="E1908" t="s">
        <v>309</v>
      </c>
      <c r="F1908" t="s">
        <v>7311</v>
      </c>
      <c r="G1908" t="s">
        <v>7312</v>
      </c>
      <c r="H1908" t="str">
        <f>"01626 207020"</f>
        <v>01626 207020</v>
      </c>
    </row>
    <row r="1909" spans="1:8">
      <c r="A1909" t="s">
        <v>7313</v>
      </c>
      <c r="B1909" t="s">
        <v>7314</v>
      </c>
      <c r="C1909" t="s">
        <v>7315</v>
      </c>
      <c r="D1909" t="s">
        <v>1256</v>
      </c>
      <c r="E1909" t="s">
        <v>280</v>
      </c>
      <c r="F1909" t="s">
        <v>7316</v>
      </c>
      <c r="G1909" t="s">
        <v>7317</v>
      </c>
      <c r="H1909" t="str">
        <f>"01484821500"</f>
        <v>01484821500</v>
      </c>
    </row>
    <row r="1910" spans="1:8">
      <c r="A1910" t="s">
        <v>7313</v>
      </c>
      <c r="B1910" t="s">
        <v>7318</v>
      </c>
      <c r="D1910" t="s">
        <v>7319</v>
      </c>
      <c r="E1910" t="s">
        <v>280</v>
      </c>
      <c r="F1910" t="s">
        <v>7320</v>
      </c>
      <c r="G1910" t="s">
        <v>7321</v>
      </c>
      <c r="H1910" t="str">
        <f>"01422 372478"</f>
        <v>01422 372478</v>
      </c>
    </row>
    <row r="1911" spans="1:8">
      <c r="A1911" t="s">
        <v>7313</v>
      </c>
      <c r="B1911" t="s">
        <v>7322</v>
      </c>
      <c r="C1911" t="s">
        <v>7323</v>
      </c>
      <c r="D1911" t="s">
        <v>1520</v>
      </c>
      <c r="E1911" t="s">
        <v>280</v>
      </c>
      <c r="F1911" t="s">
        <v>7324</v>
      </c>
      <c r="G1911" t="s">
        <v>7325</v>
      </c>
      <c r="H1911" t="str">
        <f>"01422 330700"</f>
        <v>01422 330700</v>
      </c>
    </row>
    <row r="1912" spans="1:8">
      <c r="A1912" t="s">
        <v>7313</v>
      </c>
      <c r="B1912" t="s">
        <v>7326</v>
      </c>
      <c r="D1912" t="s">
        <v>1260</v>
      </c>
      <c r="E1912" t="s">
        <v>280</v>
      </c>
      <c r="F1912" t="s">
        <v>7327</v>
      </c>
      <c r="G1912" t="s">
        <v>7321</v>
      </c>
      <c r="H1912" t="str">
        <f>"01484 690040"</f>
        <v>01484 690040</v>
      </c>
    </row>
    <row r="1913" spans="1:8">
      <c r="A1913" t="s">
        <v>7313</v>
      </c>
      <c r="B1913" t="s">
        <v>7328</v>
      </c>
      <c r="D1913" t="s">
        <v>1263</v>
      </c>
      <c r="E1913" t="s">
        <v>280</v>
      </c>
      <c r="F1913" t="s">
        <v>7329</v>
      </c>
      <c r="G1913" t="s">
        <v>7321</v>
      </c>
      <c r="H1913" t="str">
        <f>"01924 499251"</f>
        <v>01924 499251</v>
      </c>
    </row>
    <row r="1914" spans="1:8">
      <c r="A1914" t="s">
        <v>7313</v>
      </c>
      <c r="B1914" t="s">
        <v>7330</v>
      </c>
      <c r="C1914" t="s">
        <v>7331</v>
      </c>
      <c r="D1914" t="s">
        <v>1256</v>
      </c>
      <c r="E1914" t="s">
        <v>280</v>
      </c>
      <c r="F1914" t="s">
        <v>7332</v>
      </c>
      <c r="G1914" t="s">
        <v>7321</v>
      </c>
      <c r="H1914" t="str">
        <f>"01484 844116"</f>
        <v>01484 844116</v>
      </c>
    </row>
    <row r="1915" spans="1:8">
      <c r="A1915" t="s">
        <v>7313</v>
      </c>
      <c r="B1915" t="s">
        <v>7333</v>
      </c>
      <c r="D1915" t="s">
        <v>326</v>
      </c>
      <c r="E1915" t="s">
        <v>280</v>
      </c>
      <c r="F1915" t="s">
        <v>7334</v>
      </c>
      <c r="G1915" t="s">
        <v>7321</v>
      </c>
      <c r="H1915" t="str">
        <f>"01924 669510"</f>
        <v>01924 669510</v>
      </c>
    </row>
    <row r="1916" spans="1:8">
      <c r="A1916" t="s">
        <v>7313</v>
      </c>
      <c r="B1916" t="s">
        <v>1347</v>
      </c>
      <c r="D1916" t="s">
        <v>355</v>
      </c>
      <c r="E1916" t="s">
        <v>280</v>
      </c>
      <c r="F1916" t="s">
        <v>1348</v>
      </c>
      <c r="G1916" t="s">
        <v>7321</v>
      </c>
      <c r="H1916" t="str">
        <f>"01138871830"</f>
        <v>01138871830</v>
      </c>
    </row>
    <row r="1917" spans="1:8">
      <c r="A1917" t="s">
        <v>7313</v>
      </c>
      <c r="B1917" t="s">
        <v>7335</v>
      </c>
      <c r="D1917" t="s">
        <v>7336</v>
      </c>
      <c r="E1917" t="s">
        <v>280</v>
      </c>
      <c r="F1917" t="s">
        <v>7337</v>
      </c>
      <c r="G1917" t="s">
        <v>7321</v>
      </c>
      <c r="H1917" t="str">
        <f>"01484 821500"</f>
        <v>01484 821500</v>
      </c>
    </row>
    <row r="1918" spans="1:8">
      <c r="A1918" t="s">
        <v>7313</v>
      </c>
      <c r="B1918" t="s">
        <v>7338</v>
      </c>
      <c r="C1918" t="s">
        <v>7339</v>
      </c>
      <c r="D1918" t="s">
        <v>615</v>
      </c>
      <c r="E1918" t="s">
        <v>616</v>
      </c>
      <c r="F1918" t="s">
        <v>7340</v>
      </c>
      <c r="G1918" t="s">
        <v>7321</v>
      </c>
      <c r="H1918" t="str">
        <f>"01904 655442"</f>
        <v>01904 655442</v>
      </c>
    </row>
    <row r="1919" spans="1:8">
      <c r="A1919" t="s">
        <v>7341</v>
      </c>
      <c r="B1919" t="s">
        <v>2551</v>
      </c>
      <c r="D1919" t="s">
        <v>3511</v>
      </c>
      <c r="F1919" t="s">
        <v>7342</v>
      </c>
      <c r="G1919" t="s">
        <v>7343</v>
      </c>
      <c r="H1919" t="str">
        <f>"01423 862975"</f>
        <v>01423 862975</v>
      </c>
    </row>
    <row r="1920" spans="1:8">
      <c r="A1920" t="s">
        <v>7344</v>
      </c>
      <c r="B1920" t="s">
        <v>7345</v>
      </c>
      <c r="D1920" t="s">
        <v>303</v>
      </c>
      <c r="F1920" t="s">
        <v>7346</v>
      </c>
      <c r="G1920" t="s">
        <v>7347</v>
      </c>
      <c r="H1920" t="str">
        <f>"02920 404020"</f>
        <v>02920 404020</v>
      </c>
    </row>
    <row r="1921" spans="1:8">
      <c r="A1921" t="s">
        <v>7344</v>
      </c>
      <c r="B1921" t="s">
        <v>7348</v>
      </c>
      <c r="C1921" t="s">
        <v>2968</v>
      </c>
      <c r="D1921" t="s">
        <v>1054</v>
      </c>
      <c r="E1921" t="s">
        <v>1069</v>
      </c>
      <c r="F1921" t="s">
        <v>2969</v>
      </c>
      <c r="G1921" t="s">
        <v>7349</v>
      </c>
      <c r="H1921" t="str">
        <f>"01792410016"</f>
        <v>01792410016</v>
      </c>
    </row>
    <row r="1922" spans="1:8">
      <c r="A1922" t="s">
        <v>7344</v>
      </c>
      <c r="B1922" t="s">
        <v>7350</v>
      </c>
      <c r="D1922" t="s">
        <v>1616</v>
      </c>
      <c r="E1922" t="s">
        <v>3140</v>
      </c>
      <c r="F1922" t="s">
        <v>7351</v>
      </c>
      <c r="G1922" t="s">
        <v>7352</v>
      </c>
      <c r="H1922" t="str">
        <f>"01633227960"</f>
        <v>01633227960</v>
      </c>
    </row>
    <row r="1923" spans="1:8">
      <c r="A1923" t="s">
        <v>7344</v>
      </c>
      <c r="B1923" t="s">
        <v>7353</v>
      </c>
      <c r="C1923" t="s">
        <v>7354</v>
      </c>
      <c r="D1923" t="s">
        <v>1042</v>
      </c>
      <c r="E1923" t="s">
        <v>1363</v>
      </c>
      <c r="F1923" t="s">
        <v>7355</v>
      </c>
      <c r="G1923" t="s">
        <v>7356</v>
      </c>
      <c r="H1923" t="str">
        <f>"01656 477477 "</f>
        <v xml:space="preserve">01656 477477 </v>
      </c>
    </row>
    <row r="1924" spans="1:8">
      <c r="A1924" t="s">
        <v>7357</v>
      </c>
      <c r="B1924" t="s">
        <v>7358</v>
      </c>
      <c r="D1924" t="s">
        <v>2878</v>
      </c>
      <c r="F1924" t="s">
        <v>7359</v>
      </c>
      <c r="G1924" t="s">
        <v>7360</v>
      </c>
      <c r="H1924" t="str">
        <f>"0207 2243837"</f>
        <v>0207 2243837</v>
      </c>
    </row>
    <row r="1925" spans="1:8">
      <c r="A1925" t="s">
        <v>7357</v>
      </c>
      <c r="B1925" t="s">
        <v>7362</v>
      </c>
      <c r="C1925" t="s">
        <v>7363</v>
      </c>
      <c r="D1925" t="s">
        <v>7361</v>
      </c>
      <c r="F1925" t="s">
        <v>7364</v>
      </c>
      <c r="G1925" t="s">
        <v>7365</v>
      </c>
      <c r="H1925" t="str">
        <f>"01923 545990"</f>
        <v>01923 545990</v>
      </c>
    </row>
    <row r="1926" spans="1:8">
      <c r="A1926" t="s">
        <v>7366</v>
      </c>
      <c r="B1926" t="s">
        <v>7367</v>
      </c>
      <c r="D1926" t="s">
        <v>6268</v>
      </c>
      <c r="E1926" t="s">
        <v>6254</v>
      </c>
      <c r="F1926" t="s">
        <v>7368</v>
      </c>
      <c r="G1926" t="s">
        <v>7369</v>
      </c>
      <c r="H1926" t="str">
        <f>"01934414161"</f>
        <v>01934414161</v>
      </c>
    </row>
    <row r="1927" spans="1:8">
      <c r="A1927" t="s">
        <v>7366</v>
      </c>
      <c r="B1927" t="s">
        <v>7370</v>
      </c>
      <c r="C1927" t="s">
        <v>6272</v>
      </c>
      <c r="D1927" t="s">
        <v>6268</v>
      </c>
      <c r="E1927" t="s">
        <v>6254</v>
      </c>
      <c r="F1927" t="s">
        <v>7371</v>
      </c>
      <c r="G1927" t="s">
        <v>7372</v>
      </c>
      <c r="H1927" t="str">
        <f>"01934 512963"</f>
        <v>01934 512963</v>
      </c>
    </row>
    <row r="1928" spans="1:8">
      <c r="A1928" t="s">
        <v>7366</v>
      </c>
      <c r="B1928" t="s">
        <v>7373</v>
      </c>
      <c r="D1928" t="s">
        <v>7374</v>
      </c>
      <c r="E1928" t="s">
        <v>6254</v>
      </c>
      <c r="F1928" t="s">
        <v>7375</v>
      </c>
      <c r="G1928" t="s">
        <v>7372</v>
      </c>
      <c r="H1928" t="str">
        <f>"01934 842811"</f>
        <v>01934 842811</v>
      </c>
    </row>
    <row r="1929" spans="1:8">
      <c r="A1929" t="s">
        <v>7376</v>
      </c>
      <c r="B1929" t="s">
        <v>7377</v>
      </c>
      <c r="D1929" t="s">
        <v>1024</v>
      </c>
      <c r="E1929" t="s">
        <v>227</v>
      </c>
      <c r="F1929" t="s">
        <v>7378</v>
      </c>
      <c r="G1929" t="s">
        <v>7379</v>
      </c>
      <c r="H1929" t="str">
        <f>"01142729184"</f>
        <v>01142729184</v>
      </c>
    </row>
    <row r="1930" spans="1:8">
      <c r="A1930" t="s">
        <v>7376</v>
      </c>
      <c r="B1930" t="s">
        <v>7380</v>
      </c>
      <c r="D1930" t="s">
        <v>7381</v>
      </c>
      <c r="F1930" t="s">
        <v>7382</v>
      </c>
      <c r="G1930" t="s">
        <v>7383</v>
      </c>
      <c r="H1930" t="str">
        <f>"01433 650718"</f>
        <v>01433 650718</v>
      </c>
    </row>
    <row r="1931" spans="1:8">
      <c r="A1931" t="s">
        <v>7376</v>
      </c>
      <c r="B1931" t="s">
        <v>7384</v>
      </c>
      <c r="C1931" t="s">
        <v>7385</v>
      </c>
      <c r="D1931" t="s">
        <v>286</v>
      </c>
      <c r="E1931" t="s">
        <v>1033</v>
      </c>
      <c r="F1931" t="s">
        <v>7386</v>
      </c>
      <c r="G1931" t="s">
        <v>7387</v>
      </c>
      <c r="H1931" t="str">
        <f>"01246229393"</f>
        <v>01246229393</v>
      </c>
    </row>
    <row r="1932" spans="1:8">
      <c r="A1932" t="s">
        <v>7388</v>
      </c>
      <c r="B1932" t="s">
        <v>7389</v>
      </c>
      <c r="D1932" t="s">
        <v>319</v>
      </c>
      <c r="E1932" t="s">
        <v>315</v>
      </c>
      <c r="F1932" t="s">
        <v>7390</v>
      </c>
      <c r="G1932" t="s">
        <v>7391</v>
      </c>
      <c r="H1932" t="str">
        <f>"01782 284320"</f>
        <v>01782 284320</v>
      </c>
    </row>
    <row r="1933" spans="1:8">
      <c r="A1933" t="s">
        <v>7388</v>
      </c>
      <c r="B1933" t="s">
        <v>7392</v>
      </c>
      <c r="C1933" t="s">
        <v>5964</v>
      </c>
      <c r="D1933" t="s">
        <v>5965</v>
      </c>
      <c r="F1933" t="s">
        <v>5966</v>
      </c>
      <c r="G1933" t="s">
        <v>7391</v>
      </c>
      <c r="H1933" t="str">
        <f>"01782284320"</f>
        <v>01782284320</v>
      </c>
    </row>
    <row r="1934" spans="1:8">
      <c r="A1934" t="s">
        <v>7388</v>
      </c>
      <c r="B1934" t="s">
        <v>7393</v>
      </c>
      <c r="D1934" t="s">
        <v>490</v>
      </c>
      <c r="E1934" t="s">
        <v>236</v>
      </c>
      <c r="F1934" t="s">
        <v>7394</v>
      </c>
      <c r="G1934" t="s">
        <v>7395</v>
      </c>
      <c r="H1934" t="str">
        <f>"01538 493200"</f>
        <v>01538 493200</v>
      </c>
    </row>
    <row r="1935" spans="1:8">
      <c r="A1935" t="s">
        <v>7396</v>
      </c>
      <c r="B1935" t="s">
        <v>7397</v>
      </c>
      <c r="D1935" t="s">
        <v>3069</v>
      </c>
      <c r="E1935" t="s">
        <v>280</v>
      </c>
      <c r="F1935" t="s">
        <v>7398</v>
      </c>
      <c r="G1935" t="s">
        <v>7399</v>
      </c>
      <c r="H1935" t="str">
        <f>"01535664411"</f>
        <v>01535664411</v>
      </c>
    </row>
    <row r="1936" spans="1:8">
      <c r="A1936" t="s">
        <v>7400</v>
      </c>
      <c r="B1936" t="s">
        <v>7401</v>
      </c>
      <c r="C1936" t="s">
        <v>5620</v>
      </c>
      <c r="D1936" t="s">
        <v>57</v>
      </c>
      <c r="F1936" t="s">
        <v>7402</v>
      </c>
      <c r="G1936" t="s">
        <v>7403</v>
      </c>
      <c r="H1936" t="str">
        <f>"020 8520 7392"</f>
        <v>020 8520 7392</v>
      </c>
    </row>
    <row r="1937" spans="1:8">
      <c r="A1937" t="s">
        <v>7404</v>
      </c>
      <c r="B1937" t="s">
        <v>6277</v>
      </c>
      <c r="C1937" t="s">
        <v>7405</v>
      </c>
      <c r="D1937" t="s">
        <v>383</v>
      </c>
      <c r="E1937" t="s">
        <v>703</v>
      </c>
      <c r="F1937" t="s">
        <v>7406</v>
      </c>
      <c r="G1937" t="s">
        <v>7407</v>
      </c>
      <c r="H1937" t="str">
        <f>"01793 434473"</f>
        <v>01793 434473</v>
      </c>
    </row>
    <row r="1938" spans="1:8">
      <c r="A1938" t="s">
        <v>7404</v>
      </c>
      <c r="B1938" t="s">
        <v>7408</v>
      </c>
      <c r="D1938" t="s">
        <v>2937</v>
      </c>
      <c r="E1938" t="s">
        <v>760</v>
      </c>
      <c r="F1938" t="s">
        <v>7409</v>
      </c>
      <c r="G1938" t="s">
        <v>7407</v>
      </c>
      <c r="H1938" t="str">
        <f>"01993 685007"</f>
        <v>01993 685007</v>
      </c>
    </row>
    <row r="1939" spans="1:8">
      <c r="A1939" t="s">
        <v>7410</v>
      </c>
      <c r="B1939" t="s">
        <v>7411</v>
      </c>
      <c r="C1939" t="s">
        <v>7412</v>
      </c>
      <c r="D1939" t="s">
        <v>247</v>
      </c>
      <c r="E1939" t="s">
        <v>1352</v>
      </c>
      <c r="F1939" t="s">
        <v>7413</v>
      </c>
      <c r="G1939" t="s">
        <v>7414</v>
      </c>
      <c r="H1939" t="str">
        <f>"01642 356500"</f>
        <v>01642 356500</v>
      </c>
    </row>
    <row r="1940" spans="1:8">
      <c r="A1940" t="s">
        <v>7410</v>
      </c>
      <c r="B1940" t="s">
        <v>7415</v>
      </c>
      <c r="C1940" t="s">
        <v>7416</v>
      </c>
      <c r="D1940" t="s">
        <v>2178</v>
      </c>
      <c r="E1940" t="s">
        <v>1458</v>
      </c>
      <c r="F1940" t="s">
        <v>7417</v>
      </c>
      <c r="G1940" t="s">
        <v>7418</v>
      </c>
      <c r="H1940" t="str">
        <f>"0191 580 0183"</f>
        <v>0191 580 0183</v>
      </c>
    </row>
    <row r="1941" spans="1:8">
      <c r="A1941" t="s">
        <v>7419</v>
      </c>
      <c r="B1941" t="s">
        <v>7420</v>
      </c>
      <c r="C1941" t="s">
        <v>4400</v>
      </c>
      <c r="D1941" t="s">
        <v>61</v>
      </c>
      <c r="F1941" t="s">
        <v>7421</v>
      </c>
      <c r="G1941" t="s">
        <v>7422</v>
      </c>
      <c r="H1941" t="str">
        <f>"0117 9390350"</f>
        <v>0117 9390350</v>
      </c>
    </row>
    <row r="1942" spans="1:8">
      <c r="A1942" t="s">
        <v>7419</v>
      </c>
      <c r="B1942" t="s">
        <v>7423</v>
      </c>
      <c r="C1942" t="s">
        <v>7424</v>
      </c>
      <c r="D1942" t="s">
        <v>61</v>
      </c>
      <c r="F1942" t="s">
        <v>7425</v>
      </c>
      <c r="G1942" t="s">
        <v>7422</v>
      </c>
      <c r="H1942" t="str">
        <f>"0117 939 0350"</f>
        <v>0117 939 0350</v>
      </c>
    </row>
    <row r="1943" spans="1:8">
      <c r="A1943" t="s">
        <v>7419</v>
      </c>
      <c r="B1943" t="s">
        <v>7426</v>
      </c>
      <c r="D1943" t="s">
        <v>970</v>
      </c>
      <c r="F1943" t="s">
        <v>1275</v>
      </c>
      <c r="G1943" t="s">
        <v>7422</v>
      </c>
      <c r="H1943" t="str">
        <f>"01432 805656"</f>
        <v>01432 805656</v>
      </c>
    </row>
    <row r="1944" spans="1:8">
      <c r="A1944" t="s">
        <v>7427</v>
      </c>
      <c r="B1944" t="s">
        <v>7428</v>
      </c>
      <c r="D1944" t="s">
        <v>2570</v>
      </c>
      <c r="E1944" t="s">
        <v>184</v>
      </c>
      <c r="F1944" t="s">
        <v>7429</v>
      </c>
      <c r="G1944" t="s">
        <v>7430</v>
      </c>
      <c r="H1944" t="str">
        <f>"01462 433800"</f>
        <v>01462 433800</v>
      </c>
    </row>
    <row r="1945" spans="1:8">
      <c r="A1945" t="s">
        <v>7427</v>
      </c>
      <c r="B1945" t="s">
        <v>7432</v>
      </c>
      <c r="D1945" t="s">
        <v>7431</v>
      </c>
      <c r="F1945" t="s">
        <v>7433</v>
      </c>
      <c r="G1945" t="s">
        <v>7434</v>
      </c>
      <c r="H1945" t="str">
        <f>"01462 415075"</f>
        <v>01462 415075</v>
      </c>
    </row>
    <row r="1946" spans="1:8">
      <c r="A1946" t="s">
        <v>7435</v>
      </c>
      <c r="B1946" t="s">
        <v>7436</v>
      </c>
      <c r="D1946" t="s">
        <v>7437</v>
      </c>
      <c r="E1946" t="s">
        <v>200</v>
      </c>
      <c r="F1946" t="s">
        <v>7438</v>
      </c>
      <c r="G1946" t="s">
        <v>7439</v>
      </c>
      <c r="H1946" t="str">
        <f>"02089394000"</f>
        <v>02089394000</v>
      </c>
    </row>
    <row r="1947" spans="1:8">
      <c r="A1947" t="s">
        <v>7440</v>
      </c>
      <c r="B1947" t="s">
        <v>7441</v>
      </c>
      <c r="C1947" t="s">
        <v>7442</v>
      </c>
      <c r="D1947" t="s">
        <v>549</v>
      </c>
      <c r="E1947" t="s">
        <v>309</v>
      </c>
      <c r="F1947" t="s">
        <v>7443</v>
      </c>
      <c r="G1947" t="s">
        <v>7444</v>
      </c>
      <c r="H1947" t="str">
        <f>"01392 209209"</f>
        <v>01392 209209</v>
      </c>
    </row>
    <row r="1948" spans="1:8">
      <c r="A1948" t="s">
        <v>7445</v>
      </c>
      <c r="B1948" t="s">
        <v>7446</v>
      </c>
      <c r="C1948" t="s">
        <v>7447</v>
      </c>
      <c r="D1948" t="s">
        <v>2623</v>
      </c>
      <c r="F1948" t="s">
        <v>7448</v>
      </c>
      <c r="G1948" t="s">
        <v>7449</v>
      </c>
      <c r="H1948" t="str">
        <f>"01775842500"</f>
        <v>01775842500</v>
      </c>
    </row>
    <row r="1949" spans="1:8">
      <c r="A1949" t="s">
        <v>7445</v>
      </c>
      <c r="B1949" t="s">
        <v>7450</v>
      </c>
      <c r="C1949" t="s">
        <v>7451</v>
      </c>
      <c r="D1949" t="s">
        <v>5425</v>
      </c>
      <c r="F1949" t="s">
        <v>7452</v>
      </c>
      <c r="G1949" t="s">
        <v>7449</v>
      </c>
      <c r="H1949" t="str">
        <f>"01480 587099"</f>
        <v>01480 587099</v>
      </c>
    </row>
    <row r="1950" spans="1:8">
      <c r="A1950" t="s">
        <v>7445</v>
      </c>
      <c r="B1950" t="s">
        <v>7453</v>
      </c>
      <c r="D1950" t="s">
        <v>14</v>
      </c>
      <c r="F1950" t="s">
        <v>7454</v>
      </c>
      <c r="G1950" t="s">
        <v>7449</v>
      </c>
      <c r="H1950" t="str">
        <f>"01215921040"</f>
        <v>01215921040</v>
      </c>
    </row>
    <row r="1951" spans="1:8">
      <c r="A1951" t="s">
        <v>7445</v>
      </c>
      <c r="B1951" t="s">
        <v>7455</v>
      </c>
      <c r="D1951" t="s">
        <v>409</v>
      </c>
      <c r="F1951" t="s">
        <v>7456</v>
      </c>
      <c r="G1951" t="s">
        <v>7457</v>
      </c>
      <c r="H1951" t="str">
        <f>"0115 948 4555"</f>
        <v>0115 948 4555</v>
      </c>
    </row>
    <row r="1952" spans="1:8">
      <c r="A1952" t="s">
        <v>7445</v>
      </c>
      <c r="B1952" t="s">
        <v>7458</v>
      </c>
      <c r="D1952" t="s">
        <v>7459</v>
      </c>
      <c r="E1952" t="s">
        <v>4215</v>
      </c>
      <c r="F1952" t="s">
        <v>7460</v>
      </c>
      <c r="G1952" t="s">
        <v>7457</v>
      </c>
      <c r="H1952" t="str">
        <f>"01865 952400"</f>
        <v>01865 952400</v>
      </c>
    </row>
    <row r="1953" spans="1:8">
      <c r="A1953" t="s">
        <v>7461</v>
      </c>
      <c r="B1953" t="s">
        <v>7462</v>
      </c>
      <c r="C1953" t="s">
        <v>7463</v>
      </c>
      <c r="D1953" t="s">
        <v>481</v>
      </c>
      <c r="F1953" t="s">
        <v>7464</v>
      </c>
      <c r="G1953" t="s">
        <v>7465</v>
      </c>
      <c r="H1953" t="str">
        <f>"01483 451 900"</f>
        <v>01483 451 900</v>
      </c>
    </row>
    <row r="1954" spans="1:8">
      <c r="A1954" t="s">
        <v>7461</v>
      </c>
      <c r="B1954" t="s">
        <v>7466</v>
      </c>
      <c r="D1954" t="s">
        <v>57</v>
      </c>
      <c r="F1954" t="s">
        <v>7467</v>
      </c>
      <c r="G1954" t="s">
        <v>7468</v>
      </c>
      <c r="H1954" t="str">
        <f>"020 7421 9421"</f>
        <v>020 7421 9421</v>
      </c>
    </row>
    <row r="1955" spans="1:8">
      <c r="A1955" t="s">
        <v>7469</v>
      </c>
      <c r="B1955" t="s">
        <v>7470</v>
      </c>
      <c r="C1955" t="s">
        <v>7471</v>
      </c>
      <c r="D1955" t="s">
        <v>1318</v>
      </c>
      <c r="E1955" t="s">
        <v>1319</v>
      </c>
      <c r="F1955" t="s">
        <v>7472</v>
      </c>
      <c r="G1955" t="s">
        <v>7473</v>
      </c>
      <c r="H1955" t="str">
        <f>"01724281616"</f>
        <v>01724281616</v>
      </c>
    </row>
    <row r="1956" spans="1:8">
      <c r="A1956" t="s">
        <v>7469</v>
      </c>
      <c r="B1956" t="s">
        <v>7474</v>
      </c>
      <c r="C1956" t="s">
        <v>7475</v>
      </c>
      <c r="D1956" t="s">
        <v>7476</v>
      </c>
      <c r="E1956" t="s">
        <v>1427</v>
      </c>
      <c r="F1956" t="s">
        <v>7477</v>
      </c>
      <c r="G1956" t="s">
        <v>7473</v>
      </c>
      <c r="H1956" t="str">
        <f>"01405 720246"</f>
        <v>01405 720246</v>
      </c>
    </row>
    <row r="1957" spans="1:8">
      <c r="A1957" t="s">
        <v>7478</v>
      </c>
      <c r="B1957" t="s">
        <v>7479</v>
      </c>
      <c r="D1957" t="s">
        <v>57</v>
      </c>
      <c r="F1957" t="s">
        <v>7480</v>
      </c>
      <c r="G1957" t="s">
        <v>7481</v>
      </c>
      <c r="H1957" t="str">
        <f>"020 3375 7000"</f>
        <v>020 3375 7000</v>
      </c>
    </row>
    <row r="1958" spans="1:8">
      <c r="A1958" t="s">
        <v>7482</v>
      </c>
      <c r="B1958" t="s">
        <v>7483</v>
      </c>
      <c r="D1958" t="s">
        <v>7484</v>
      </c>
      <c r="E1958" t="s">
        <v>736</v>
      </c>
      <c r="F1958" t="s">
        <v>7485</v>
      </c>
      <c r="G1958" t="s">
        <v>7486</v>
      </c>
      <c r="H1958" t="str">
        <f>"020 3310 3696"</f>
        <v>020 3310 3696</v>
      </c>
    </row>
    <row r="1959" spans="1:8">
      <c r="A1959" t="s">
        <v>7482</v>
      </c>
      <c r="B1959" t="s">
        <v>7488</v>
      </c>
      <c r="C1959" t="s">
        <v>7489</v>
      </c>
      <c r="D1959" t="s">
        <v>7487</v>
      </c>
      <c r="E1959" t="s">
        <v>171</v>
      </c>
      <c r="F1959" t="s">
        <v>7490</v>
      </c>
      <c r="G1959" t="s">
        <v>7486</v>
      </c>
      <c r="H1959" t="str">
        <f>"020 3310 3696"</f>
        <v>020 3310 3696</v>
      </c>
    </row>
    <row r="1960" spans="1:8">
      <c r="A1960" t="s">
        <v>7482</v>
      </c>
      <c r="B1960" t="s">
        <v>7491</v>
      </c>
      <c r="C1960" t="s">
        <v>4374</v>
      </c>
      <c r="D1960" t="s">
        <v>120</v>
      </c>
      <c r="E1960" t="s">
        <v>121</v>
      </c>
      <c r="F1960" t="s">
        <v>7492</v>
      </c>
      <c r="G1960" t="s">
        <v>7493</v>
      </c>
      <c r="H1960" t="str">
        <f>"01329 761708  "</f>
        <v xml:space="preserve">01329 761708  </v>
      </c>
    </row>
    <row r="1961" spans="1:8">
      <c r="A1961" t="s">
        <v>7494</v>
      </c>
      <c r="B1961" t="s">
        <v>7495</v>
      </c>
      <c r="D1961" t="s">
        <v>7496</v>
      </c>
      <c r="E1961" t="s">
        <v>1487</v>
      </c>
      <c r="F1961" t="s">
        <v>7497</v>
      </c>
      <c r="G1961" t="s">
        <v>7498</v>
      </c>
      <c r="H1961" t="str">
        <f>"01207232277"</f>
        <v>01207232277</v>
      </c>
    </row>
    <row r="1962" spans="1:8">
      <c r="A1962" t="s">
        <v>7494</v>
      </c>
      <c r="B1962" t="s">
        <v>7499</v>
      </c>
      <c r="D1962" t="s">
        <v>7500</v>
      </c>
      <c r="E1962" t="s">
        <v>340</v>
      </c>
      <c r="F1962" t="s">
        <v>7501</v>
      </c>
      <c r="G1962" t="s">
        <v>7502</v>
      </c>
      <c r="H1962" t="str">
        <f>"01915842841"</f>
        <v>01915842841</v>
      </c>
    </row>
    <row r="1963" spans="1:8">
      <c r="A1963" t="s">
        <v>7503</v>
      </c>
      <c r="B1963" t="s">
        <v>7504</v>
      </c>
      <c r="D1963" t="s">
        <v>7505</v>
      </c>
      <c r="E1963" t="s">
        <v>16</v>
      </c>
      <c r="F1963" t="s">
        <v>7506</v>
      </c>
      <c r="G1963" t="s">
        <v>7507</v>
      </c>
      <c r="H1963" t="str">
        <f>"0121 553 5555"</f>
        <v>0121 553 5555</v>
      </c>
    </row>
    <row r="1964" spans="1:8">
      <c r="A1964" t="s">
        <v>7503</v>
      </c>
      <c r="B1964" t="s">
        <v>7508</v>
      </c>
      <c r="D1964" t="s">
        <v>1024</v>
      </c>
      <c r="E1964" t="s">
        <v>227</v>
      </c>
      <c r="F1964" t="s">
        <v>7509</v>
      </c>
      <c r="G1964" t="s">
        <v>7510</v>
      </c>
      <c r="H1964" t="str">
        <f>"01142558001"</f>
        <v>01142558001</v>
      </c>
    </row>
    <row r="1965" spans="1:8">
      <c r="A1965" t="s">
        <v>7503</v>
      </c>
      <c r="B1965" t="s">
        <v>7512</v>
      </c>
      <c r="D1965" t="s">
        <v>7511</v>
      </c>
      <c r="E1965" t="s">
        <v>1033</v>
      </c>
      <c r="F1965" t="s">
        <v>7513</v>
      </c>
      <c r="G1965" t="s">
        <v>7514</v>
      </c>
      <c r="H1965" t="str">
        <f>"01246 498 138"</f>
        <v>01246 498 138</v>
      </c>
    </row>
    <row r="1966" spans="1:8">
      <c r="A1966" t="s">
        <v>7515</v>
      </c>
      <c r="B1966" t="s">
        <v>7516</v>
      </c>
      <c r="C1966" t="s">
        <v>7517</v>
      </c>
      <c r="D1966" t="s">
        <v>7518</v>
      </c>
      <c r="E1966" t="s">
        <v>1054</v>
      </c>
      <c r="F1966" t="s">
        <v>7519</v>
      </c>
      <c r="G1966" t="s">
        <v>7520</v>
      </c>
      <c r="H1966" t="str">
        <f>"01792773773"</f>
        <v>01792773773</v>
      </c>
    </row>
    <row r="1967" spans="1:8">
      <c r="A1967" t="s">
        <v>7515</v>
      </c>
      <c r="B1967" t="s">
        <v>7521</v>
      </c>
      <c r="C1967" t="s">
        <v>7522</v>
      </c>
      <c r="D1967" t="s">
        <v>37</v>
      </c>
      <c r="E1967" t="s">
        <v>3199</v>
      </c>
      <c r="F1967" t="s">
        <v>7523</v>
      </c>
      <c r="G1967" t="s">
        <v>7524</v>
      </c>
      <c r="H1967" t="str">
        <f>"01437764723"</f>
        <v>01437764723</v>
      </c>
    </row>
    <row r="1968" spans="1:8">
      <c r="A1968" t="s">
        <v>7515</v>
      </c>
      <c r="B1968" t="s">
        <v>7525</v>
      </c>
      <c r="D1968" t="s">
        <v>7526</v>
      </c>
      <c r="E1968" t="s">
        <v>2963</v>
      </c>
      <c r="F1968" t="s">
        <v>3083</v>
      </c>
      <c r="G1968" t="s">
        <v>7527</v>
      </c>
      <c r="H1968" t="str">
        <f>"01267 234022"</f>
        <v>01267 234022</v>
      </c>
    </row>
    <row r="1969" spans="1:8">
      <c r="A1969" t="s">
        <v>7515</v>
      </c>
      <c r="B1969" t="s">
        <v>7528</v>
      </c>
      <c r="C1969" t="s">
        <v>6772</v>
      </c>
      <c r="D1969" t="s">
        <v>303</v>
      </c>
      <c r="F1969" t="s">
        <v>7529</v>
      </c>
      <c r="G1969" t="s">
        <v>7527</v>
      </c>
      <c r="H1969" t="str">
        <f>"029 2022 5472"</f>
        <v>029 2022 5472</v>
      </c>
    </row>
    <row r="1970" spans="1:8">
      <c r="A1970" t="s">
        <v>7515</v>
      </c>
      <c r="B1970" t="s">
        <v>7530</v>
      </c>
      <c r="C1970" t="s">
        <v>7531</v>
      </c>
      <c r="D1970" t="s">
        <v>1050</v>
      </c>
      <c r="F1970" t="s">
        <v>7532</v>
      </c>
      <c r="G1970" t="s">
        <v>7527</v>
      </c>
      <c r="H1970" t="str">
        <f>"029 2086 0628"</f>
        <v>029 2086 0628</v>
      </c>
    </row>
    <row r="1971" spans="1:8">
      <c r="A1971" t="s">
        <v>7515</v>
      </c>
      <c r="B1971" t="s">
        <v>7533</v>
      </c>
      <c r="C1971" t="s">
        <v>7534</v>
      </c>
      <c r="D1971" t="s">
        <v>7535</v>
      </c>
      <c r="E1971" t="s">
        <v>2125</v>
      </c>
      <c r="F1971" t="s">
        <v>7536</v>
      </c>
      <c r="G1971" t="s">
        <v>7527</v>
      </c>
      <c r="H1971" t="str">
        <f>"01446 771742"</f>
        <v>01446 771742</v>
      </c>
    </row>
    <row r="1972" spans="1:8">
      <c r="A1972" t="s">
        <v>7515</v>
      </c>
      <c r="B1972" t="s">
        <v>7537</v>
      </c>
      <c r="D1972" t="s">
        <v>3030</v>
      </c>
      <c r="F1972" t="s">
        <v>7538</v>
      </c>
      <c r="G1972" t="s">
        <v>7539</v>
      </c>
      <c r="H1972" t="str">
        <f>"01639 881571 "</f>
        <v xml:space="preserve">01639 881571 </v>
      </c>
    </row>
    <row r="1973" spans="1:8">
      <c r="A1973" t="s">
        <v>7540</v>
      </c>
      <c r="B1973" t="s">
        <v>7541</v>
      </c>
      <c r="D1973" t="s">
        <v>927</v>
      </c>
      <c r="E1973" t="s">
        <v>171</v>
      </c>
      <c r="F1973" t="s">
        <v>7542</v>
      </c>
      <c r="G1973" t="s">
        <v>7543</v>
      </c>
      <c r="H1973" t="str">
        <f>"01227 763939"</f>
        <v>01227 763939</v>
      </c>
    </row>
    <row r="1974" spans="1:8">
      <c r="A1974" t="s">
        <v>7540</v>
      </c>
      <c r="B1974" t="s">
        <v>7544</v>
      </c>
      <c r="C1974" t="s">
        <v>7545</v>
      </c>
      <c r="D1974" t="s">
        <v>922</v>
      </c>
      <c r="E1974" t="s">
        <v>171</v>
      </c>
      <c r="F1974" t="s">
        <v>7546</v>
      </c>
      <c r="G1974" t="s">
        <v>7547</v>
      </c>
      <c r="H1974" t="str">
        <f>"01227 274241"</f>
        <v>01227 274241</v>
      </c>
    </row>
    <row r="1975" spans="1:8">
      <c r="A1975" t="s">
        <v>7548</v>
      </c>
      <c r="B1975" t="s">
        <v>7549</v>
      </c>
      <c r="D1975" t="s">
        <v>674</v>
      </c>
      <c r="E1975" t="s">
        <v>7550</v>
      </c>
      <c r="F1975" t="s">
        <v>7551</v>
      </c>
      <c r="G1975" t="s">
        <v>7552</v>
      </c>
      <c r="H1975" t="str">
        <f>"01274 306000"</f>
        <v>01274 306000</v>
      </c>
    </row>
    <row r="1976" spans="1:8">
      <c r="A1976" t="s">
        <v>7548</v>
      </c>
      <c r="B1976" t="s">
        <v>7553</v>
      </c>
      <c r="D1976" t="s">
        <v>355</v>
      </c>
      <c r="E1976" t="s">
        <v>280</v>
      </c>
      <c r="F1976" t="s">
        <v>7554</v>
      </c>
      <c r="G1976" t="s">
        <v>7552</v>
      </c>
      <c r="H1976" t="str">
        <f>"0113 220 6270"</f>
        <v>0113 220 6270</v>
      </c>
    </row>
    <row r="1977" spans="1:8">
      <c r="A1977" t="s">
        <v>7555</v>
      </c>
      <c r="B1977" t="s">
        <v>7556</v>
      </c>
      <c r="C1977" t="s">
        <v>7557</v>
      </c>
      <c r="D1977" t="s">
        <v>1124</v>
      </c>
      <c r="E1977" t="s">
        <v>663</v>
      </c>
      <c r="F1977" t="s">
        <v>7558</v>
      </c>
      <c r="G1977" t="s">
        <v>7559</v>
      </c>
      <c r="H1977" t="str">
        <f>"0330 024 4536"</f>
        <v>0330 024 4536</v>
      </c>
    </row>
    <row r="1978" spans="1:8">
      <c r="A1978" t="s">
        <v>7560</v>
      </c>
      <c r="B1978" t="s">
        <v>7187</v>
      </c>
      <c r="C1978" t="s">
        <v>7561</v>
      </c>
      <c r="D1978" t="s">
        <v>1426</v>
      </c>
      <c r="E1978" t="s">
        <v>3490</v>
      </c>
      <c r="F1978" t="s">
        <v>7562</v>
      </c>
      <c r="G1978" t="s">
        <v>7563</v>
      </c>
      <c r="H1978" t="str">
        <f>"01482300200"</f>
        <v>01482300200</v>
      </c>
    </row>
    <row r="1979" spans="1:8">
      <c r="A1979" t="s">
        <v>7560</v>
      </c>
      <c r="B1979" t="s">
        <v>7564</v>
      </c>
      <c r="C1979" t="s">
        <v>7565</v>
      </c>
      <c r="D1979" t="s">
        <v>4710</v>
      </c>
      <c r="E1979" t="s">
        <v>1427</v>
      </c>
      <c r="F1979" t="s">
        <v>7566</v>
      </c>
      <c r="G1979" t="s">
        <v>7567</v>
      </c>
      <c r="H1979" t="str">
        <f>"01482300500"</f>
        <v>01482300500</v>
      </c>
    </row>
    <row r="1980" spans="1:8">
      <c r="A1980" t="s">
        <v>7560</v>
      </c>
      <c r="B1980" t="s">
        <v>7568</v>
      </c>
      <c r="D1980" t="s">
        <v>615</v>
      </c>
      <c r="F1980" t="s">
        <v>7569</v>
      </c>
      <c r="G1980" t="s">
        <v>7563</v>
      </c>
      <c r="H1980" t="str">
        <f>"01904943300"</f>
        <v>01904943300</v>
      </c>
    </row>
    <row r="1981" spans="1:8">
      <c r="A1981" t="s">
        <v>7570</v>
      </c>
      <c r="B1981" t="s">
        <v>7571</v>
      </c>
      <c r="D1981" t="s">
        <v>774</v>
      </c>
      <c r="E1981" t="s">
        <v>775</v>
      </c>
      <c r="F1981" t="s">
        <v>7572</v>
      </c>
      <c r="G1981" t="s">
        <v>7573</v>
      </c>
      <c r="H1981" t="str">
        <f>"0116 253 6856"</f>
        <v>0116 253 6856</v>
      </c>
    </row>
    <row r="1982" spans="1:8">
      <c r="A1982" t="s">
        <v>7574</v>
      </c>
      <c r="B1982" t="s">
        <v>7575</v>
      </c>
      <c r="D1982" t="s">
        <v>3304</v>
      </c>
      <c r="E1982" t="s">
        <v>315</v>
      </c>
      <c r="F1982" t="s">
        <v>7576</v>
      </c>
      <c r="G1982" t="s">
        <v>7577</v>
      </c>
      <c r="H1982" t="str">
        <f>"01625 431111"</f>
        <v>01625 431111</v>
      </c>
    </row>
    <row r="1983" spans="1:8">
      <c r="A1983" t="s">
        <v>7578</v>
      </c>
      <c r="B1983" t="s">
        <v>7579</v>
      </c>
      <c r="D1983" t="s">
        <v>57</v>
      </c>
      <c r="F1983" t="s">
        <v>7580</v>
      </c>
      <c r="G1983" t="s">
        <v>7581</v>
      </c>
      <c r="H1983" t="str">
        <f>"02073282929"</f>
        <v>02073282929</v>
      </c>
    </row>
    <row r="1984" spans="1:8">
      <c r="A1984" t="s">
        <v>7582</v>
      </c>
      <c r="B1984" t="s">
        <v>7583</v>
      </c>
      <c r="D1984" t="s">
        <v>774</v>
      </c>
      <c r="E1984" t="s">
        <v>775</v>
      </c>
      <c r="F1984" t="s">
        <v>7584</v>
      </c>
      <c r="G1984" t="s">
        <v>7585</v>
      </c>
      <c r="H1984" t="str">
        <f>"01162999199"</f>
        <v>01162999199</v>
      </c>
    </row>
    <row r="1985" spans="1:8">
      <c r="A1985" t="s">
        <v>7586</v>
      </c>
      <c r="B1985" t="s">
        <v>7587</v>
      </c>
      <c r="C1985" t="s">
        <v>7588</v>
      </c>
      <c r="D1985" t="s">
        <v>7589</v>
      </c>
      <c r="E1985" t="s">
        <v>990</v>
      </c>
      <c r="F1985" t="s">
        <v>7590</v>
      </c>
      <c r="G1985" t="s">
        <v>7591</v>
      </c>
      <c r="H1985" t="str">
        <f>"01494 862226"</f>
        <v>01494 862226</v>
      </c>
    </row>
    <row r="1986" spans="1:8">
      <c r="A1986" t="s">
        <v>7586</v>
      </c>
      <c r="B1986" t="s">
        <v>7592</v>
      </c>
      <c r="C1986" t="s">
        <v>7593</v>
      </c>
      <c r="D1986" t="s">
        <v>7594</v>
      </c>
      <c r="E1986" t="s">
        <v>990</v>
      </c>
      <c r="F1986" t="s">
        <v>7595</v>
      </c>
      <c r="G1986" t="s">
        <v>7591</v>
      </c>
      <c r="H1986" t="str">
        <f>"01296620443"</f>
        <v>01296620443</v>
      </c>
    </row>
    <row r="1987" spans="1:8">
      <c r="A1987" t="s">
        <v>7586</v>
      </c>
      <c r="B1987" t="s">
        <v>7596</v>
      </c>
      <c r="D1987" t="s">
        <v>7597</v>
      </c>
      <c r="E1987" t="s">
        <v>990</v>
      </c>
      <c r="F1987" t="s">
        <v>7598</v>
      </c>
      <c r="G1987" t="s">
        <v>7591</v>
      </c>
      <c r="H1987" t="str">
        <f>"01494729024"</f>
        <v>01494729024</v>
      </c>
    </row>
    <row r="1988" spans="1:8">
      <c r="A1988" t="s">
        <v>7586</v>
      </c>
      <c r="B1988" t="s">
        <v>7599</v>
      </c>
      <c r="D1988" t="s">
        <v>7594</v>
      </c>
      <c r="E1988" t="s">
        <v>990</v>
      </c>
      <c r="F1988" t="s">
        <v>7600</v>
      </c>
      <c r="G1988" t="s">
        <v>7591</v>
      </c>
      <c r="H1988" t="str">
        <f>"01296 596969"</f>
        <v>01296 596969</v>
      </c>
    </row>
    <row r="1989" spans="1:8">
      <c r="A1989" t="s">
        <v>7601</v>
      </c>
      <c r="B1989" t="s">
        <v>7602</v>
      </c>
      <c r="D1989" t="s">
        <v>57</v>
      </c>
      <c r="F1989" t="s">
        <v>7603</v>
      </c>
      <c r="G1989" t="s">
        <v>7604</v>
      </c>
      <c r="H1989" t="str">
        <f>"02089893000"</f>
        <v>02089893000</v>
      </c>
    </row>
    <row r="1990" spans="1:8">
      <c r="A1990" t="s">
        <v>7605</v>
      </c>
      <c r="B1990" t="s">
        <v>7606</v>
      </c>
      <c r="D1990" t="s">
        <v>1779</v>
      </c>
      <c r="E1990" t="s">
        <v>502</v>
      </c>
      <c r="F1990" t="s">
        <v>7607</v>
      </c>
      <c r="G1990" t="s">
        <v>7608</v>
      </c>
      <c r="H1990" t="str">
        <f>"01243 786668"</f>
        <v>01243 786668</v>
      </c>
    </row>
    <row r="1991" spans="1:8">
      <c r="A1991" t="s">
        <v>7605</v>
      </c>
      <c r="B1991" t="s">
        <v>7609</v>
      </c>
      <c r="D1991" t="s">
        <v>1779</v>
      </c>
      <c r="E1991" t="s">
        <v>502</v>
      </c>
      <c r="F1991" t="s">
        <v>7610</v>
      </c>
      <c r="G1991" t="s">
        <v>7608</v>
      </c>
      <c r="H1991" t="str">
        <f>"01243 786668"</f>
        <v>01243 786668</v>
      </c>
    </row>
    <row r="1992" spans="1:8">
      <c r="A1992" t="s">
        <v>7611</v>
      </c>
      <c r="B1992" t="s">
        <v>7612</v>
      </c>
      <c r="D1992" t="s">
        <v>57</v>
      </c>
      <c r="F1992" t="s">
        <v>7613</v>
      </c>
      <c r="G1992" t="s">
        <v>7614</v>
      </c>
      <c r="H1992" t="str">
        <f>"0207 703 5034"</f>
        <v>0207 703 5034</v>
      </c>
    </row>
    <row r="1993" spans="1:8">
      <c r="A1993" t="s">
        <v>7611</v>
      </c>
      <c r="B1993" t="s">
        <v>7615</v>
      </c>
      <c r="D1993" t="s">
        <v>57</v>
      </c>
      <c r="F1993" t="s">
        <v>7616</v>
      </c>
      <c r="G1993" t="s">
        <v>7614</v>
      </c>
      <c r="H1993" t="str">
        <f>"02077035034"</f>
        <v>02077035034</v>
      </c>
    </row>
    <row r="1994" spans="1:8">
      <c r="A1994" t="s">
        <v>7611</v>
      </c>
      <c r="B1994" t="s">
        <v>7617</v>
      </c>
      <c r="D1994" t="s">
        <v>7618</v>
      </c>
      <c r="E1994" t="s">
        <v>7619</v>
      </c>
      <c r="F1994" t="s">
        <v>7620</v>
      </c>
      <c r="G1994" t="s">
        <v>7614</v>
      </c>
      <c r="H1994" t="str">
        <f>"01306 884432"</f>
        <v>01306 884432</v>
      </c>
    </row>
    <row r="1995" spans="1:8">
      <c r="A1995" t="s">
        <v>7611</v>
      </c>
      <c r="B1995" t="s">
        <v>7621</v>
      </c>
      <c r="C1995" t="s">
        <v>1765</v>
      </c>
      <c r="D1995" t="s">
        <v>736</v>
      </c>
      <c r="F1995" t="s">
        <v>7622</v>
      </c>
      <c r="G1995" t="s">
        <v>7614</v>
      </c>
      <c r="H1995" t="str">
        <f>"020 7703 5034"</f>
        <v>020 7703 5034</v>
      </c>
    </row>
    <row r="1996" spans="1:8">
      <c r="A1996" t="s">
        <v>7611</v>
      </c>
      <c r="B1996" t="s">
        <v>7623</v>
      </c>
      <c r="D1996" t="s">
        <v>5766</v>
      </c>
      <c r="F1996" t="s">
        <v>7624</v>
      </c>
      <c r="G1996" t="s">
        <v>7625</v>
      </c>
      <c r="H1996" t="str">
        <f>"02077035034"</f>
        <v>02077035034</v>
      </c>
    </row>
    <row r="1997" spans="1:8">
      <c r="A1997" t="s">
        <v>7626</v>
      </c>
      <c r="B1997" t="s">
        <v>7627</v>
      </c>
      <c r="D1997" t="s">
        <v>3698</v>
      </c>
      <c r="E1997" t="s">
        <v>67</v>
      </c>
      <c r="F1997" t="s">
        <v>7628</v>
      </c>
      <c r="G1997" t="s">
        <v>7629</v>
      </c>
      <c r="H1997" t="str">
        <f>"01539 720049"</f>
        <v>01539 720049</v>
      </c>
    </row>
    <row r="1998" spans="1:8">
      <c r="A1998" t="s">
        <v>7626</v>
      </c>
      <c r="B1998" t="s">
        <v>7630</v>
      </c>
      <c r="D1998" t="s">
        <v>7631</v>
      </c>
      <c r="F1998" t="s">
        <v>7632</v>
      </c>
      <c r="G1998" t="s">
        <v>7633</v>
      </c>
      <c r="H1998" t="str">
        <f>"015395 35208"</f>
        <v>015395 35208</v>
      </c>
    </row>
    <row r="1999" spans="1:8">
      <c r="A1999" t="s">
        <v>7634</v>
      </c>
      <c r="B1999" t="s">
        <v>7635</v>
      </c>
      <c r="D1999" t="s">
        <v>57</v>
      </c>
      <c r="F1999" t="s">
        <v>7636</v>
      </c>
      <c r="G1999" t="s">
        <v>7637</v>
      </c>
      <c r="H1999" t="str">
        <f>"020 89122280"</f>
        <v>020 89122280</v>
      </c>
    </row>
    <row r="2000" spans="1:8">
      <c r="A2000" t="s">
        <v>7638</v>
      </c>
      <c r="B2000" t="s">
        <v>7639</v>
      </c>
      <c r="C2000" t="s">
        <v>7640</v>
      </c>
      <c r="D2000" t="s">
        <v>5134</v>
      </c>
      <c r="E2000" t="s">
        <v>1033</v>
      </c>
      <c r="F2000" t="s">
        <v>7641</v>
      </c>
      <c r="G2000" t="s">
        <v>7642</v>
      </c>
      <c r="H2000" t="str">
        <f>"01332 372372"</f>
        <v>01332 372372</v>
      </c>
    </row>
    <row r="2001" spans="1:8">
      <c r="A2001" t="s">
        <v>7638</v>
      </c>
      <c r="B2001" t="s">
        <v>7643</v>
      </c>
      <c r="C2001" t="s">
        <v>7644</v>
      </c>
      <c r="D2001" t="s">
        <v>774</v>
      </c>
      <c r="E2001" t="s">
        <v>775</v>
      </c>
      <c r="F2001" t="s">
        <v>7645</v>
      </c>
      <c r="G2001" t="s">
        <v>7646</v>
      </c>
      <c r="H2001" t="str">
        <f>"01162 226650"</f>
        <v>01162 226650</v>
      </c>
    </row>
    <row r="2002" spans="1:8">
      <c r="A2002" t="s">
        <v>7638</v>
      </c>
      <c r="B2002" t="s">
        <v>7647</v>
      </c>
      <c r="C2002" t="s">
        <v>7648</v>
      </c>
      <c r="D2002" t="s">
        <v>409</v>
      </c>
      <c r="E2002" t="s">
        <v>410</v>
      </c>
      <c r="F2002" t="s">
        <v>7649</v>
      </c>
      <c r="G2002" t="s">
        <v>7642</v>
      </c>
      <c r="H2002" t="str">
        <f>"0115 9586262"</f>
        <v>0115 9586262</v>
      </c>
    </row>
    <row r="2003" spans="1:8">
      <c r="A2003" t="s">
        <v>7650</v>
      </c>
      <c r="B2003" t="s">
        <v>7651</v>
      </c>
      <c r="D2003" t="s">
        <v>7652</v>
      </c>
      <c r="E2003" t="s">
        <v>7653</v>
      </c>
      <c r="F2003" t="s">
        <v>7654</v>
      </c>
      <c r="G2003" t="s">
        <v>7655</v>
      </c>
      <c r="H2003" t="str">
        <f>"01407762374"</f>
        <v>01407762374</v>
      </c>
    </row>
    <row r="2004" spans="1:8">
      <c r="A2004" t="s">
        <v>7650</v>
      </c>
      <c r="B2004" t="s">
        <v>7656</v>
      </c>
      <c r="C2004" t="s">
        <v>7657</v>
      </c>
      <c r="D2004" t="s">
        <v>1935</v>
      </c>
      <c r="E2004" t="s">
        <v>1936</v>
      </c>
      <c r="F2004" t="s">
        <v>7658</v>
      </c>
      <c r="G2004" t="s">
        <v>7659</v>
      </c>
      <c r="H2004" t="str">
        <f>"01286672207"</f>
        <v>01286672207</v>
      </c>
    </row>
    <row r="2005" spans="1:8">
      <c r="A2005" t="s">
        <v>7650</v>
      </c>
      <c r="B2005" t="s">
        <v>7660</v>
      </c>
      <c r="D2005" t="s">
        <v>5645</v>
      </c>
      <c r="E2005" t="s">
        <v>1936</v>
      </c>
      <c r="F2005" t="s">
        <v>7661</v>
      </c>
      <c r="G2005" t="s">
        <v>7662</v>
      </c>
      <c r="H2005" t="str">
        <f>"01248 362315"</f>
        <v>01248 362315</v>
      </c>
    </row>
    <row r="2006" spans="1:8">
      <c r="A2006" t="s">
        <v>7650</v>
      </c>
      <c r="B2006" t="s">
        <v>7663</v>
      </c>
      <c r="D2006" t="s">
        <v>4346</v>
      </c>
      <c r="E2006" t="s">
        <v>1936</v>
      </c>
      <c r="F2006" t="s">
        <v>7664</v>
      </c>
      <c r="G2006" t="s">
        <v>7665</v>
      </c>
      <c r="H2006" t="str">
        <f>"01766 830206"</f>
        <v>01766 830206</v>
      </c>
    </row>
    <row r="2007" spans="1:8">
      <c r="A2007" t="s">
        <v>7650</v>
      </c>
      <c r="B2007" t="s">
        <v>7666</v>
      </c>
      <c r="D2007" t="s">
        <v>7652</v>
      </c>
      <c r="E2007" t="s">
        <v>1936</v>
      </c>
      <c r="F2007" t="s">
        <v>7667</v>
      </c>
      <c r="G2007" t="s">
        <v>7668</v>
      </c>
      <c r="H2007" t="str">
        <f>"01407 762301"</f>
        <v>01407 762301</v>
      </c>
    </row>
    <row r="2008" spans="1:8">
      <c r="A2008" t="s">
        <v>7669</v>
      </c>
      <c r="B2008" t="s">
        <v>7670</v>
      </c>
      <c r="D2008" t="s">
        <v>235</v>
      </c>
      <c r="E2008" t="s">
        <v>236</v>
      </c>
      <c r="F2008" t="s">
        <v>7671</v>
      </c>
      <c r="G2008" t="s">
        <v>7672</v>
      </c>
      <c r="H2008" t="str">
        <f>"01785223440"</f>
        <v>01785223440</v>
      </c>
    </row>
    <row r="2009" spans="1:8">
      <c r="A2009" t="s">
        <v>7669</v>
      </c>
      <c r="B2009" t="s">
        <v>7673</v>
      </c>
      <c r="D2009" t="s">
        <v>1103</v>
      </c>
      <c r="F2009" t="s">
        <v>7674</v>
      </c>
      <c r="G2009" t="s">
        <v>7675</v>
      </c>
      <c r="H2009" t="str">
        <f>"01785 223 440"</f>
        <v>01785 223 440</v>
      </c>
    </row>
    <row r="2010" spans="1:8">
      <c r="A2010" t="s">
        <v>7676</v>
      </c>
      <c r="B2010" t="s">
        <v>7677</v>
      </c>
      <c r="C2010" t="s">
        <v>7678</v>
      </c>
      <c r="D2010" t="s">
        <v>5314</v>
      </c>
      <c r="E2010" t="s">
        <v>236</v>
      </c>
      <c r="F2010" t="s">
        <v>7679</v>
      </c>
      <c r="G2010" t="s">
        <v>7680</v>
      </c>
      <c r="H2010" t="str">
        <f>"01782 522 111"</f>
        <v>01782 522 111</v>
      </c>
    </row>
    <row r="2011" spans="1:8">
      <c r="A2011" t="s">
        <v>7681</v>
      </c>
      <c r="B2011" t="s">
        <v>7682</v>
      </c>
      <c r="D2011" t="s">
        <v>203</v>
      </c>
      <c r="E2011" t="s">
        <v>200</v>
      </c>
      <c r="F2011" t="s">
        <v>7683</v>
      </c>
      <c r="G2011" t="s">
        <v>7684</v>
      </c>
      <c r="H2011" t="str">
        <f>"01276 680000"</f>
        <v>01276 680000</v>
      </c>
    </row>
    <row r="2012" spans="1:8">
      <c r="A2012" t="s">
        <v>7681</v>
      </c>
      <c r="B2012" t="s">
        <v>7685</v>
      </c>
      <c r="C2012" t="s">
        <v>7686</v>
      </c>
      <c r="D2012" t="s">
        <v>207</v>
      </c>
      <c r="E2012" t="s">
        <v>200</v>
      </c>
      <c r="F2012" t="s">
        <v>7687</v>
      </c>
      <c r="G2012" t="s">
        <v>7684</v>
      </c>
      <c r="H2012" t="str">
        <f>"01252 716101"</f>
        <v>01252 716101</v>
      </c>
    </row>
    <row r="2013" spans="1:8">
      <c r="A2013" t="s">
        <v>7681</v>
      </c>
      <c r="B2013" t="s">
        <v>7688</v>
      </c>
      <c r="D2013" t="s">
        <v>4802</v>
      </c>
      <c r="F2013" t="s">
        <v>7689</v>
      </c>
      <c r="G2013" t="s">
        <v>7684</v>
      </c>
      <c r="H2013" t="str">
        <f>"01295 278500"</f>
        <v>01295 278500</v>
      </c>
    </row>
    <row r="2014" spans="1:8">
      <c r="A2014" t="s">
        <v>7690</v>
      </c>
      <c r="B2014" t="s">
        <v>7691</v>
      </c>
      <c r="D2014" t="s">
        <v>774</v>
      </c>
      <c r="E2014" t="s">
        <v>775</v>
      </c>
      <c r="F2014" t="s">
        <v>7692</v>
      </c>
      <c r="G2014" t="s">
        <v>7693</v>
      </c>
      <c r="H2014" t="str">
        <f>"01162626062"</f>
        <v>01162626062</v>
      </c>
    </row>
    <row r="2015" spans="1:8">
      <c r="A2015" t="s">
        <v>7690</v>
      </c>
      <c r="B2015" t="s">
        <v>7694</v>
      </c>
      <c r="D2015" t="s">
        <v>774</v>
      </c>
      <c r="E2015" t="s">
        <v>775</v>
      </c>
      <c r="F2015" t="s">
        <v>7695</v>
      </c>
      <c r="G2015" t="s">
        <v>7696</v>
      </c>
      <c r="H2015" t="str">
        <f>"0116 262 6052"</f>
        <v>0116 262 6052</v>
      </c>
    </row>
    <row r="2016" spans="1:8">
      <c r="A2016" t="s">
        <v>7697</v>
      </c>
      <c r="B2016" t="s">
        <v>7698</v>
      </c>
      <c r="D2016" t="s">
        <v>5040</v>
      </c>
      <c r="E2016" t="s">
        <v>171</v>
      </c>
      <c r="F2016" t="s">
        <v>7699</v>
      </c>
      <c r="G2016" t="s">
        <v>7700</v>
      </c>
      <c r="H2016" t="str">
        <f>"01322222205"</f>
        <v>01322222205</v>
      </c>
    </row>
    <row r="2017" spans="1:8">
      <c r="A2017" t="s">
        <v>7701</v>
      </c>
      <c r="B2017" t="s">
        <v>7702</v>
      </c>
      <c r="D2017" t="s">
        <v>7703</v>
      </c>
      <c r="E2017" t="s">
        <v>464</v>
      </c>
      <c r="F2017" t="s">
        <v>7704</v>
      </c>
      <c r="G2017" t="s">
        <v>7705</v>
      </c>
      <c r="H2017" t="str">
        <f>"01458 833700"</f>
        <v>01458 833700</v>
      </c>
    </row>
    <row r="2018" spans="1:8">
      <c r="A2018" t="s">
        <v>7701</v>
      </c>
      <c r="B2018" t="s">
        <v>7706</v>
      </c>
      <c r="D2018" t="s">
        <v>1154</v>
      </c>
      <c r="E2018" t="s">
        <v>464</v>
      </c>
      <c r="F2018" t="s">
        <v>7707</v>
      </c>
      <c r="G2018" t="s">
        <v>7708</v>
      </c>
      <c r="H2018" t="str">
        <f>"01749 675535"</f>
        <v>01749 675535</v>
      </c>
    </row>
    <row r="2019" spans="1:8">
      <c r="A2019" t="s">
        <v>7701</v>
      </c>
      <c r="B2019" t="s">
        <v>7709</v>
      </c>
      <c r="D2019" t="s">
        <v>1162</v>
      </c>
      <c r="E2019" t="s">
        <v>464</v>
      </c>
      <c r="F2019" t="s">
        <v>7710</v>
      </c>
      <c r="G2019" t="s">
        <v>7711</v>
      </c>
      <c r="H2019" t="str">
        <f>"01458 442433"</f>
        <v>01458 442433</v>
      </c>
    </row>
    <row r="2020" spans="1:8">
      <c r="A2020" t="s">
        <v>7712</v>
      </c>
      <c r="B2020" t="s">
        <v>7713</v>
      </c>
      <c r="D2020" t="s">
        <v>286</v>
      </c>
      <c r="E2020" t="s">
        <v>1033</v>
      </c>
      <c r="F2020" t="s">
        <v>7714</v>
      </c>
      <c r="G2020" t="s">
        <v>7715</v>
      </c>
      <c r="H2020" t="str">
        <f>"01246 555111"</f>
        <v>01246 555111</v>
      </c>
    </row>
    <row r="2021" spans="1:8">
      <c r="A2021" t="s">
        <v>7712</v>
      </c>
      <c r="B2021" t="s">
        <v>7716</v>
      </c>
      <c r="D2021" t="s">
        <v>1024</v>
      </c>
      <c r="F2021" t="s">
        <v>7717</v>
      </c>
      <c r="G2021" t="s">
        <v>7718</v>
      </c>
      <c r="H2021" t="str">
        <f>"01143497000"</f>
        <v>01143497000</v>
      </c>
    </row>
    <row r="2022" spans="1:8">
      <c r="A2022" t="s">
        <v>7719</v>
      </c>
      <c r="B2022" t="s">
        <v>7720</v>
      </c>
      <c r="C2022" t="s">
        <v>7721</v>
      </c>
      <c r="D2022" t="s">
        <v>57</v>
      </c>
      <c r="F2022" t="s">
        <v>7722</v>
      </c>
      <c r="G2022" t="s">
        <v>7723</v>
      </c>
      <c r="H2022" t="str">
        <f>"0207 935 2408"</f>
        <v>0207 935 2408</v>
      </c>
    </row>
    <row r="2023" spans="1:8">
      <c r="A2023" t="s">
        <v>7724</v>
      </c>
      <c r="B2023" t="s">
        <v>7725</v>
      </c>
      <c r="C2023" t="s">
        <v>7726</v>
      </c>
      <c r="D2023" t="s">
        <v>736</v>
      </c>
      <c r="F2023" t="s">
        <v>7727</v>
      </c>
      <c r="G2023" t="s">
        <v>7728</v>
      </c>
      <c r="H2023" t="str">
        <f>"02085489402"</f>
        <v>02085489402</v>
      </c>
    </row>
    <row r="2024" spans="1:8">
      <c r="A2024" t="s">
        <v>7729</v>
      </c>
      <c r="B2024" t="s">
        <v>7730</v>
      </c>
      <c r="D2024" t="s">
        <v>1318</v>
      </c>
      <c r="E2024" t="s">
        <v>1319</v>
      </c>
      <c r="F2024" t="s">
        <v>7731</v>
      </c>
      <c r="G2024" t="s">
        <v>7732</v>
      </c>
      <c r="H2024" t="str">
        <f>"01724871999"</f>
        <v>01724871999</v>
      </c>
    </row>
    <row r="2025" spans="1:8">
      <c r="A2025" t="s">
        <v>7729</v>
      </c>
      <c r="B2025" t="s">
        <v>7733</v>
      </c>
      <c r="D2025" t="s">
        <v>1426</v>
      </c>
      <c r="E2025" t="s">
        <v>1427</v>
      </c>
      <c r="F2025" t="s">
        <v>7734</v>
      </c>
      <c r="G2025" t="s">
        <v>7732</v>
      </c>
      <c r="H2025" t="str">
        <f>"01482326511"</f>
        <v>01482326511</v>
      </c>
    </row>
    <row r="2026" spans="1:8">
      <c r="A2026" t="s">
        <v>7729</v>
      </c>
      <c r="B2026" t="s">
        <v>7735</v>
      </c>
      <c r="D2026" t="s">
        <v>2220</v>
      </c>
      <c r="E2026" t="s">
        <v>2221</v>
      </c>
      <c r="F2026" t="s">
        <v>7736</v>
      </c>
      <c r="G2026" t="s">
        <v>7732</v>
      </c>
      <c r="H2026" t="str">
        <f>"01472 245555"</f>
        <v>01472 245555</v>
      </c>
    </row>
    <row r="2027" spans="1:8">
      <c r="A2027" t="s">
        <v>7729</v>
      </c>
      <c r="B2027" t="s">
        <v>7737</v>
      </c>
      <c r="D2027" t="s">
        <v>7738</v>
      </c>
      <c r="F2027" t="s">
        <v>7739</v>
      </c>
      <c r="G2027" t="s">
        <v>7732</v>
      </c>
      <c r="H2027" t="str">
        <f>"01522 717410"</f>
        <v>01522 717410</v>
      </c>
    </row>
    <row r="2028" spans="1:8">
      <c r="A2028" t="s">
        <v>7729</v>
      </c>
      <c r="B2028" t="s">
        <v>7740</v>
      </c>
      <c r="D2028" t="s">
        <v>4710</v>
      </c>
      <c r="E2028" t="s">
        <v>1427</v>
      </c>
      <c r="F2028" t="s">
        <v>7741</v>
      </c>
      <c r="G2028" t="s">
        <v>7732</v>
      </c>
      <c r="H2028" t="str">
        <f>"01482 326511"</f>
        <v>01482 326511</v>
      </c>
    </row>
    <row r="2029" spans="1:8">
      <c r="A2029" t="s">
        <v>7729</v>
      </c>
      <c r="B2029" t="s">
        <v>7742</v>
      </c>
      <c r="D2029" t="s">
        <v>1463</v>
      </c>
      <c r="F2029" t="s">
        <v>7743</v>
      </c>
      <c r="G2029" t="s">
        <v>7732</v>
      </c>
      <c r="H2029" t="str">
        <f>"0191 3036462"</f>
        <v>0191 3036462</v>
      </c>
    </row>
    <row r="2030" spans="1:8">
      <c r="A2030" t="s">
        <v>7729</v>
      </c>
      <c r="B2030" t="s">
        <v>7745</v>
      </c>
      <c r="D2030" t="s">
        <v>7744</v>
      </c>
      <c r="E2030" t="s">
        <v>1426</v>
      </c>
      <c r="F2030" t="s">
        <v>7746</v>
      </c>
      <c r="G2030" t="s">
        <v>7732</v>
      </c>
      <c r="H2030" t="str">
        <f>"01482 326446"</f>
        <v>01482 326446</v>
      </c>
    </row>
    <row r="2031" spans="1:8">
      <c r="A2031" t="s">
        <v>7729</v>
      </c>
      <c r="B2031" t="s">
        <v>7747</v>
      </c>
      <c r="D2031" t="s">
        <v>7748</v>
      </c>
      <c r="F2031" t="s">
        <v>7749</v>
      </c>
      <c r="G2031" t="s">
        <v>7732</v>
      </c>
      <c r="H2031" t="str">
        <f>"01652 226677"</f>
        <v>01652 226677</v>
      </c>
    </row>
    <row r="2032" spans="1:8">
      <c r="A2032" t="s">
        <v>7729</v>
      </c>
      <c r="B2032" t="s">
        <v>7750</v>
      </c>
      <c r="D2032" t="s">
        <v>57</v>
      </c>
      <c r="F2032" t="s">
        <v>7751</v>
      </c>
      <c r="G2032" t="s">
        <v>7732</v>
      </c>
      <c r="H2032" t="str">
        <f>"0207 099 0700"</f>
        <v>0207 099 0700</v>
      </c>
    </row>
    <row r="2033" spans="1:8">
      <c r="A2033" t="s">
        <v>7729</v>
      </c>
      <c r="B2033" t="s">
        <v>7752</v>
      </c>
      <c r="D2033" t="s">
        <v>7753</v>
      </c>
      <c r="F2033" t="s">
        <v>7754</v>
      </c>
      <c r="G2033" t="s">
        <v>7732</v>
      </c>
      <c r="H2033" t="str">
        <f>"01904 898877"</f>
        <v>01904 898877</v>
      </c>
    </row>
    <row r="2034" spans="1:8">
      <c r="A2034" t="s">
        <v>7729</v>
      </c>
      <c r="B2034" t="s">
        <v>7755</v>
      </c>
      <c r="D2034" t="s">
        <v>226</v>
      </c>
      <c r="F2034" t="s">
        <v>7756</v>
      </c>
      <c r="G2034" t="s">
        <v>7732</v>
      </c>
      <c r="H2034" t="str">
        <f>"01302 630630"</f>
        <v>01302 630630</v>
      </c>
    </row>
    <row r="2035" spans="1:8">
      <c r="A2035" t="s">
        <v>7729</v>
      </c>
      <c r="B2035" t="s">
        <v>7757</v>
      </c>
      <c r="C2035" t="s">
        <v>7758</v>
      </c>
      <c r="D2035" t="s">
        <v>368</v>
      </c>
      <c r="F2035" t="s">
        <v>7759</v>
      </c>
      <c r="G2035" t="s">
        <v>7732</v>
      </c>
      <c r="H2035" t="str">
        <f>"01733 808888"</f>
        <v>01733 808888</v>
      </c>
    </row>
    <row r="2036" spans="1:8">
      <c r="A2036" t="s">
        <v>7729</v>
      </c>
      <c r="B2036" t="s">
        <v>7760</v>
      </c>
      <c r="D2036" t="s">
        <v>1853</v>
      </c>
      <c r="F2036" t="s">
        <v>7761</v>
      </c>
      <c r="G2036" t="s">
        <v>7762</v>
      </c>
      <c r="H2036" t="str">
        <f>"01226 690541"</f>
        <v>01226 690541</v>
      </c>
    </row>
    <row r="2037" spans="1:8">
      <c r="A2037" t="s">
        <v>7729</v>
      </c>
      <c r="B2037" t="s">
        <v>7763</v>
      </c>
      <c r="C2037" t="s">
        <v>5839</v>
      </c>
      <c r="D2037" t="s">
        <v>1853</v>
      </c>
      <c r="F2037" t="s">
        <v>7764</v>
      </c>
      <c r="G2037" t="s">
        <v>7765</v>
      </c>
      <c r="H2037" t="str">
        <f>"01226 709100"</f>
        <v>01226 709100</v>
      </c>
    </row>
    <row r="2038" spans="1:8">
      <c r="A2038" t="s">
        <v>7729</v>
      </c>
      <c r="B2038" t="s">
        <v>7766</v>
      </c>
      <c r="D2038" t="s">
        <v>6521</v>
      </c>
      <c r="F2038" t="s">
        <v>7767</v>
      </c>
      <c r="G2038" t="s">
        <v>7768</v>
      </c>
      <c r="H2038" t="str">
        <f>"01757 667106"</f>
        <v>01757 667106</v>
      </c>
    </row>
    <row r="2039" spans="1:8">
      <c r="A2039" t="s">
        <v>7729</v>
      </c>
      <c r="B2039" t="s">
        <v>7769</v>
      </c>
      <c r="D2039" t="s">
        <v>6521</v>
      </c>
      <c r="F2039" t="s">
        <v>7770</v>
      </c>
      <c r="G2039" t="s">
        <v>7771</v>
      </c>
      <c r="H2039" t="str">
        <f>"01757 667106"</f>
        <v>01757 667106</v>
      </c>
    </row>
    <row r="2040" spans="1:8">
      <c r="A2040" t="s">
        <v>7729</v>
      </c>
      <c r="B2040" t="s">
        <v>7772</v>
      </c>
      <c r="D2040" t="s">
        <v>7773</v>
      </c>
      <c r="F2040" t="s">
        <v>7774</v>
      </c>
      <c r="G2040" t="s">
        <v>7775</v>
      </c>
      <c r="H2040" t="str">
        <f>"01977 682219"</f>
        <v>01977 682219</v>
      </c>
    </row>
    <row r="2041" spans="1:8">
      <c r="A2041" t="s">
        <v>7729</v>
      </c>
      <c r="B2041" t="s">
        <v>7776</v>
      </c>
      <c r="C2041" t="s">
        <v>3384</v>
      </c>
      <c r="D2041" t="s">
        <v>297</v>
      </c>
      <c r="F2041" t="s">
        <v>7777</v>
      </c>
      <c r="G2041" t="s">
        <v>7732</v>
      </c>
      <c r="H2041" t="str">
        <f>"0161 510 0100"</f>
        <v>0161 510 0100</v>
      </c>
    </row>
    <row r="2042" spans="1:8">
      <c r="A2042" t="s">
        <v>7729</v>
      </c>
      <c r="B2042" t="s">
        <v>7778</v>
      </c>
      <c r="D2042" t="s">
        <v>2434</v>
      </c>
      <c r="F2042" t="s">
        <v>7779</v>
      </c>
      <c r="G2042" t="s">
        <v>7780</v>
      </c>
      <c r="H2042" t="str">
        <f>"01919332959"</f>
        <v>01919332959</v>
      </c>
    </row>
    <row r="2043" spans="1:8">
      <c r="A2043" t="s">
        <v>7781</v>
      </c>
      <c r="B2043" t="s">
        <v>7782</v>
      </c>
      <c r="D2043" t="s">
        <v>892</v>
      </c>
      <c r="E2043" t="s">
        <v>893</v>
      </c>
      <c r="F2043" t="s">
        <v>7783</v>
      </c>
      <c r="G2043" t="s">
        <v>7784</v>
      </c>
      <c r="H2043" t="str">
        <f>"01512361744"</f>
        <v>01512361744</v>
      </c>
    </row>
    <row r="2044" spans="1:8">
      <c r="A2044" t="s">
        <v>7785</v>
      </c>
      <c r="B2044" t="s">
        <v>7786</v>
      </c>
      <c r="D2044" t="s">
        <v>6521</v>
      </c>
      <c r="E2044" t="s">
        <v>616</v>
      </c>
      <c r="F2044" t="s">
        <v>7787</v>
      </c>
      <c r="G2044" t="s">
        <v>7788</v>
      </c>
      <c r="H2044" t="str">
        <f>"01757 708957"</f>
        <v>01757 708957</v>
      </c>
    </row>
    <row r="2045" spans="1:8">
      <c r="A2045" t="s">
        <v>7785</v>
      </c>
      <c r="B2045" t="s">
        <v>7789</v>
      </c>
      <c r="D2045" t="s">
        <v>3514</v>
      </c>
      <c r="E2045" t="s">
        <v>616</v>
      </c>
      <c r="F2045" t="s">
        <v>7790</v>
      </c>
      <c r="G2045" t="s">
        <v>7788</v>
      </c>
      <c r="H2045" t="str">
        <f>"01904 624185 "</f>
        <v xml:space="preserve">01904 624185 </v>
      </c>
    </row>
    <row r="2046" spans="1:8">
      <c r="A2046" t="s">
        <v>7785</v>
      </c>
      <c r="B2046" t="s">
        <v>7791</v>
      </c>
      <c r="D2046" t="s">
        <v>7792</v>
      </c>
      <c r="E2046" t="s">
        <v>7793</v>
      </c>
      <c r="F2046" t="s">
        <v>7794</v>
      </c>
      <c r="G2046" t="s">
        <v>7788</v>
      </c>
      <c r="H2046" t="str">
        <f>"01653 600070"</f>
        <v>01653 600070</v>
      </c>
    </row>
    <row r="2047" spans="1:8">
      <c r="A2047" t="s">
        <v>7785</v>
      </c>
      <c r="B2047" t="s">
        <v>7796</v>
      </c>
      <c r="D2047" t="s">
        <v>7795</v>
      </c>
      <c r="E2047" t="s">
        <v>616</v>
      </c>
      <c r="F2047" t="s">
        <v>7797</v>
      </c>
      <c r="G2047" t="s">
        <v>7788</v>
      </c>
      <c r="H2047" t="str">
        <f>"01751 472121"</f>
        <v>01751 472121</v>
      </c>
    </row>
    <row r="2048" spans="1:8">
      <c r="A2048" t="s">
        <v>7798</v>
      </c>
      <c r="B2048" t="s">
        <v>702</v>
      </c>
      <c r="D2048" t="s">
        <v>7799</v>
      </c>
      <c r="E2048" t="s">
        <v>2281</v>
      </c>
      <c r="F2048" t="s">
        <v>7800</v>
      </c>
      <c r="G2048" t="s">
        <v>7801</v>
      </c>
      <c r="H2048" t="str">
        <f>"01288 356 256"</f>
        <v>01288 356 256</v>
      </c>
    </row>
    <row r="2049" spans="1:8">
      <c r="A2049" t="s">
        <v>7802</v>
      </c>
      <c r="B2049" t="s">
        <v>7803</v>
      </c>
      <c r="D2049" t="s">
        <v>1198</v>
      </c>
      <c r="E2049" t="s">
        <v>1200</v>
      </c>
      <c r="F2049" t="s">
        <v>7804</v>
      </c>
      <c r="G2049" t="s">
        <v>7805</v>
      </c>
      <c r="H2049" t="str">
        <f>"01926 350031"</f>
        <v>01926 350031</v>
      </c>
    </row>
    <row r="2050" spans="1:8">
      <c r="A2050" t="s">
        <v>7802</v>
      </c>
      <c r="B2050" t="s">
        <v>7806</v>
      </c>
      <c r="C2050" t="s">
        <v>7807</v>
      </c>
      <c r="D2050" t="s">
        <v>3938</v>
      </c>
      <c r="E2050" t="s">
        <v>16</v>
      </c>
      <c r="F2050" t="s">
        <v>7808</v>
      </c>
      <c r="G2050" t="s">
        <v>7809</v>
      </c>
      <c r="H2050" t="str">
        <f>"02476 553961"</f>
        <v>02476 553961</v>
      </c>
    </row>
    <row r="2051" spans="1:8">
      <c r="A2051" t="s">
        <v>7810</v>
      </c>
      <c r="B2051" t="s">
        <v>7811</v>
      </c>
      <c r="D2051" t="s">
        <v>303</v>
      </c>
      <c r="E2051" t="s">
        <v>1358</v>
      </c>
      <c r="F2051" t="s">
        <v>7812</v>
      </c>
      <c r="G2051" t="s">
        <v>7813</v>
      </c>
      <c r="H2051" t="str">
        <f>"02920349820"</f>
        <v>02920349820</v>
      </c>
    </row>
    <row r="2052" spans="1:8">
      <c r="A2052" t="s">
        <v>7814</v>
      </c>
      <c r="B2052" t="s">
        <v>7815</v>
      </c>
      <c r="C2052" t="s">
        <v>7331</v>
      </c>
      <c r="D2052" t="s">
        <v>1256</v>
      </c>
      <c r="E2052" t="s">
        <v>280</v>
      </c>
      <c r="F2052" t="s">
        <v>7816</v>
      </c>
      <c r="G2052" t="s">
        <v>7817</v>
      </c>
      <c r="H2052" t="str">
        <f>"01484 840445"</f>
        <v>01484 840445</v>
      </c>
    </row>
    <row r="2053" spans="1:8">
      <c r="A2053" t="s">
        <v>7814</v>
      </c>
      <c r="B2053" t="s">
        <v>7819</v>
      </c>
      <c r="C2053" t="s">
        <v>7818</v>
      </c>
      <c r="D2053" t="s">
        <v>1260</v>
      </c>
      <c r="F2053" t="s">
        <v>7820</v>
      </c>
      <c r="G2053" t="s">
        <v>7821</v>
      </c>
      <c r="H2053" t="str">
        <f>"01484 840 445"</f>
        <v>01484 840 445</v>
      </c>
    </row>
    <row r="2054" spans="1:8">
      <c r="A2054" t="s">
        <v>7822</v>
      </c>
      <c r="B2054" t="s">
        <v>7823</v>
      </c>
      <c r="D2054" t="s">
        <v>2922</v>
      </c>
      <c r="E2054" t="s">
        <v>200</v>
      </c>
      <c r="F2054" t="s">
        <v>7824</v>
      </c>
      <c r="G2054" t="s">
        <v>7825</v>
      </c>
      <c r="H2054" t="str">
        <f>"01372 237 070"</f>
        <v>01372 237 070</v>
      </c>
    </row>
    <row r="2055" spans="1:8">
      <c r="A2055" t="s">
        <v>7822</v>
      </c>
      <c r="B2055" t="s">
        <v>7827</v>
      </c>
      <c r="D2055" t="s">
        <v>7826</v>
      </c>
      <c r="E2055" t="s">
        <v>200</v>
      </c>
      <c r="F2055" t="s">
        <v>7828</v>
      </c>
      <c r="G2055" t="s">
        <v>7825</v>
      </c>
      <c r="H2055" t="str">
        <f>"020 3179 2300 "</f>
        <v xml:space="preserve">020 3179 2300 </v>
      </c>
    </row>
    <row r="2056" spans="1:8">
      <c r="A2056" t="s">
        <v>7822</v>
      </c>
      <c r="B2056" t="s">
        <v>7829</v>
      </c>
      <c r="D2056" t="s">
        <v>57</v>
      </c>
      <c r="F2056" t="s">
        <v>7830</v>
      </c>
      <c r="G2056" t="s">
        <v>7831</v>
      </c>
      <c r="H2056" t="str">
        <f>"020 3179 4600"</f>
        <v>020 3179 4600</v>
      </c>
    </row>
    <row r="2057" spans="1:8">
      <c r="A2057" t="s">
        <v>7832</v>
      </c>
      <c r="B2057" t="s">
        <v>7833</v>
      </c>
      <c r="D2057" t="s">
        <v>1179</v>
      </c>
      <c r="E2057" t="s">
        <v>1180</v>
      </c>
      <c r="F2057" t="s">
        <v>7834</v>
      </c>
      <c r="G2057" t="s">
        <v>7835</v>
      </c>
      <c r="H2057" t="str">
        <f>"01604232882"</f>
        <v>01604232882</v>
      </c>
    </row>
    <row r="2058" spans="1:8">
      <c r="A2058" t="s">
        <v>7836</v>
      </c>
      <c r="B2058" t="s">
        <v>7837</v>
      </c>
      <c r="C2058" t="s">
        <v>7838</v>
      </c>
      <c r="D2058" t="s">
        <v>4756</v>
      </c>
      <c r="E2058" t="s">
        <v>2112</v>
      </c>
      <c r="F2058" t="s">
        <v>7839</v>
      </c>
      <c r="G2058" t="s">
        <v>7840</v>
      </c>
      <c r="H2058" t="str">
        <f>"01204 546570"</f>
        <v>01204 546570</v>
      </c>
    </row>
    <row r="2059" spans="1:8">
      <c r="A2059" t="s">
        <v>7841</v>
      </c>
      <c r="B2059" t="s">
        <v>7842</v>
      </c>
      <c r="D2059" t="s">
        <v>7843</v>
      </c>
      <c r="E2059" t="s">
        <v>2958</v>
      </c>
      <c r="F2059" t="s">
        <v>7844</v>
      </c>
      <c r="G2059" t="s">
        <v>7845</v>
      </c>
      <c r="H2059" t="str">
        <f>"01970625566"</f>
        <v>01970625566</v>
      </c>
    </row>
    <row r="2060" spans="1:8">
      <c r="A2060" t="s">
        <v>7846</v>
      </c>
      <c r="B2060" t="s">
        <v>7847</v>
      </c>
      <c r="D2060" t="s">
        <v>4638</v>
      </c>
      <c r="E2060" t="s">
        <v>1200</v>
      </c>
      <c r="F2060" t="s">
        <v>7848</v>
      </c>
      <c r="G2060" t="s">
        <v>7849</v>
      </c>
      <c r="H2060" t="str">
        <f>"01788 576384"</f>
        <v>01788 576384</v>
      </c>
    </row>
    <row r="2061" spans="1:8">
      <c r="A2061" t="s">
        <v>7850</v>
      </c>
      <c r="B2061" t="s">
        <v>7851</v>
      </c>
      <c r="D2061" t="s">
        <v>7852</v>
      </c>
      <c r="F2061" t="s">
        <v>7853</v>
      </c>
      <c r="G2061" t="s">
        <v>7854</v>
      </c>
      <c r="H2061" t="str">
        <f>"01691 671926"</f>
        <v>01691 671926</v>
      </c>
    </row>
    <row r="2062" spans="1:8">
      <c r="A2062" t="s">
        <v>7855</v>
      </c>
      <c r="B2062" t="s">
        <v>7856</v>
      </c>
      <c r="C2062" t="s">
        <v>7857</v>
      </c>
      <c r="D2062" t="s">
        <v>1553</v>
      </c>
      <c r="E2062" t="s">
        <v>164</v>
      </c>
      <c r="F2062" t="s">
        <v>7858</v>
      </c>
      <c r="G2062" t="s">
        <v>7859</v>
      </c>
      <c r="H2062" t="str">
        <f>"01202 558844"</f>
        <v>01202 558844</v>
      </c>
    </row>
    <row r="2063" spans="1:8">
      <c r="A2063" t="s">
        <v>7855</v>
      </c>
      <c r="B2063" t="s">
        <v>7860</v>
      </c>
      <c r="C2063" t="s">
        <v>7861</v>
      </c>
      <c r="D2063" t="s">
        <v>1638</v>
      </c>
      <c r="F2063" t="s">
        <v>7862</v>
      </c>
      <c r="G2063" t="s">
        <v>7859</v>
      </c>
      <c r="H2063" t="str">
        <f>"01202 674425"</f>
        <v>01202 674425</v>
      </c>
    </row>
    <row r="2064" spans="1:8">
      <c r="A2064" t="s">
        <v>7855</v>
      </c>
      <c r="B2064" t="s">
        <v>7863</v>
      </c>
      <c r="D2064" t="s">
        <v>1566</v>
      </c>
      <c r="F2064" t="s">
        <v>7864</v>
      </c>
      <c r="G2064" t="s">
        <v>7859</v>
      </c>
      <c r="H2064" t="str">
        <f>"01202 880382"</f>
        <v>01202 880382</v>
      </c>
    </row>
    <row r="2065" spans="1:8">
      <c r="A2065" t="s">
        <v>7865</v>
      </c>
      <c r="B2065" t="s">
        <v>7866</v>
      </c>
      <c r="C2065" t="s">
        <v>7867</v>
      </c>
      <c r="D2065" t="s">
        <v>7505</v>
      </c>
      <c r="E2065" t="s">
        <v>16</v>
      </c>
      <c r="F2065" t="s">
        <v>7868</v>
      </c>
      <c r="G2065" t="s">
        <v>7869</v>
      </c>
      <c r="H2065" t="str">
        <f>"01215532576"</f>
        <v>01215532576</v>
      </c>
    </row>
    <row r="2066" spans="1:8">
      <c r="A2066" t="s">
        <v>7870</v>
      </c>
      <c r="B2066" t="s">
        <v>7871</v>
      </c>
      <c r="D2066" t="s">
        <v>7872</v>
      </c>
      <c r="E2066" t="s">
        <v>292</v>
      </c>
      <c r="F2066" t="s">
        <v>7873</v>
      </c>
      <c r="G2066" t="s">
        <v>7874</v>
      </c>
      <c r="H2066" t="str">
        <f>"01476591711"</f>
        <v>01476591711</v>
      </c>
    </row>
    <row r="2067" spans="1:8">
      <c r="A2067" t="s">
        <v>7870</v>
      </c>
      <c r="B2067" t="s">
        <v>7875</v>
      </c>
      <c r="D2067" t="s">
        <v>3588</v>
      </c>
      <c r="E2067" t="s">
        <v>410</v>
      </c>
      <c r="F2067" t="s">
        <v>7876</v>
      </c>
      <c r="G2067" t="s">
        <v>7877</v>
      </c>
      <c r="H2067" t="str">
        <f>"01636 616356"</f>
        <v>01636 616356</v>
      </c>
    </row>
    <row r="2068" spans="1:8">
      <c r="A2068" t="s">
        <v>7870</v>
      </c>
      <c r="B2068" t="s">
        <v>7878</v>
      </c>
      <c r="C2068" t="s">
        <v>7879</v>
      </c>
      <c r="D2068" t="s">
        <v>291</v>
      </c>
      <c r="E2068" t="s">
        <v>292</v>
      </c>
      <c r="F2068" t="s">
        <v>7880</v>
      </c>
      <c r="G2068" t="s">
        <v>7877</v>
      </c>
      <c r="H2068" t="str">
        <f>"01522 803050"</f>
        <v>01522 803050</v>
      </c>
    </row>
    <row r="2069" spans="1:8">
      <c r="A2069" t="s">
        <v>7881</v>
      </c>
      <c r="B2069" t="s">
        <v>7882</v>
      </c>
      <c r="D2069" t="s">
        <v>7883</v>
      </c>
      <c r="E2069" t="s">
        <v>1180</v>
      </c>
      <c r="F2069" t="s">
        <v>7884</v>
      </c>
      <c r="G2069" t="s">
        <v>7885</v>
      </c>
      <c r="H2069" t="str">
        <f>"01327 354456"</f>
        <v>01327 354456</v>
      </c>
    </row>
    <row r="2070" spans="1:8">
      <c r="A2070" t="s">
        <v>7886</v>
      </c>
      <c r="B2070" t="s">
        <v>7887</v>
      </c>
      <c r="D2070" t="s">
        <v>2653</v>
      </c>
      <c r="E2070" t="s">
        <v>309</v>
      </c>
      <c r="F2070" t="s">
        <v>7888</v>
      </c>
      <c r="G2070" t="s">
        <v>7889</v>
      </c>
      <c r="H2070" t="str">
        <f>"01395 264646"</f>
        <v>01395 264646</v>
      </c>
    </row>
    <row r="2071" spans="1:8">
      <c r="A2071" t="s">
        <v>7890</v>
      </c>
      <c r="B2071" t="s">
        <v>7891</v>
      </c>
      <c r="D2071" t="s">
        <v>4238</v>
      </c>
      <c r="E2071" t="s">
        <v>340</v>
      </c>
      <c r="F2071" t="s">
        <v>7892</v>
      </c>
      <c r="G2071" t="s">
        <v>7893</v>
      </c>
      <c r="H2071" t="str">
        <f>"01914901000"</f>
        <v>01914901000</v>
      </c>
    </row>
    <row r="2072" spans="1:8">
      <c r="A2072" t="s">
        <v>7894</v>
      </c>
      <c r="B2072" t="s">
        <v>7895</v>
      </c>
      <c r="D2072" t="s">
        <v>88</v>
      </c>
      <c r="E2072" t="s">
        <v>520</v>
      </c>
      <c r="F2072" t="s">
        <v>7896</v>
      </c>
      <c r="G2072" t="s">
        <v>7897</v>
      </c>
      <c r="H2072" t="str">
        <f>"01323 411505"</f>
        <v>01323 411505</v>
      </c>
    </row>
    <row r="2073" spans="1:8">
      <c r="A2073" t="s">
        <v>7894</v>
      </c>
      <c r="B2073" t="s">
        <v>7899</v>
      </c>
      <c r="D2073" t="s">
        <v>7898</v>
      </c>
      <c r="E2073" t="s">
        <v>520</v>
      </c>
      <c r="F2073" t="s">
        <v>7900</v>
      </c>
      <c r="G2073" t="s">
        <v>7901</v>
      </c>
      <c r="H2073" t="str">
        <f>"01323 899331"</f>
        <v>01323 899331</v>
      </c>
    </row>
    <row r="2074" spans="1:8">
      <c r="A2074" t="s">
        <v>7894</v>
      </c>
      <c r="B2074" t="s">
        <v>7903</v>
      </c>
      <c r="D2074" t="s">
        <v>7902</v>
      </c>
      <c r="E2074" t="s">
        <v>520</v>
      </c>
      <c r="F2074" t="s">
        <v>7904</v>
      </c>
      <c r="G2074" t="s">
        <v>7905</v>
      </c>
      <c r="H2074" t="str">
        <f>"01273 514213"</f>
        <v>01273 514213</v>
      </c>
    </row>
    <row r="2075" spans="1:8">
      <c r="A2075" t="s">
        <v>7894</v>
      </c>
      <c r="B2075" t="s">
        <v>7906</v>
      </c>
      <c r="D2075" t="s">
        <v>2504</v>
      </c>
      <c r="E2075" t="s">
        <v>520</v>
      </c>
      <c r="F2075" t="s">
        <v>7907</v>
      </c>
      <c r="G2075" t="s">
        <v>7908</v>
      </c>
      <c r="H2075" t="str">
        <f>"01323 814010"</f>
        <v>01323 814010</v>
      </c>
    </row>
    <row r="2076" spans="1:8">
      <c r="A2076" t="s">
        <v>7894</v>
      </c>
      <c r="B2076" t="s">
        <v>7910</v>
      </c>
      <c r="D2076" t="s">
        <v>7909</v>
      </c>
      <c r="E2076" t="s">
        <v>520</v>
      </c>
      <c r="F2076" t="s">
        <v>7911</v>
      </c>
      <c r="G2076" t="s">
        <v>7912</v>
      </c>
      <c r="H2076" t="str">
        <f>"01273 582271"</f>
        <v>01273 582271</v>
      </c>
    </row>
    <row r="2077" spans="1:8">
      <c r="A2077" t="s">
        <v>7913</v>
      </c>
      <c r="B2077" t="s">
        <v>7914</v>
      </c>
      <c r="D2077" t="s">
        <v>57</v>
      </c>
      <c r="F2077" t="s">
        <v>7915</v>
      </c>
      <c r="G2077" t="s">
        <v>7916</v>
      </c>
      <c r="H2077" t="str">
        <f>"020 7936 8888"</f>
        <v>020 7936 8888</v>
      </c>
    </row>
    <row r="2078" spans="1:8">
      <c r="A2078" t="s">
        <v>7917</v>
      </c>
      <c r="B2078" t="s">
        <v>7918</v>
      </c>
      <c r="D2078" t="s">
        <v>7919</v>
      </c>
      <c r="E2078" t="s">
        <v>292</v>
      </c>
      <c r="F2078" t="s">
        <v>7920</v>
      </c>
      <c r="G2078" t="s">
        <v>7921</v>
      </c>
      <c r="H2078" t="str">
        <f>"01778420670"</f>
        <v>01778420670</v>
      </c>
    </row>
    <row r="2079" spans="1:8">
      <c r="A2079" t="s">
        <v>7922</v>
      </c>
      <c r="B2079" t="s">
        <v>7923</v>
      </c>
      <c r="D2079" t="s">
        <v>4005</v>
      </c>
      <c r="E2079" t="s">
        <v>16</v>
      </c>
      <c r="F2079" t="s">
        <v>7924</v>
      </c>
      <c r="G2079" t="s">
        <v>7925</v>
      </c>
      <c r="H2079" t="str">
        <f>"01922 720000"</f>
        <v>01922 720000</v>
      </c>
    </row>
    <row r="2080" spans="1:8">
      <c r="A2080" t="s">
        <v>7922</v>
      </c>
      <c r="B2080" t="s">
        <v>7926</v>
      </c>
      <c r="D2080" t="s">
        <v>7927</v>
      </c>
      <c r="F2080" t="s">
        <v>7928</v>
      </c>
      <c r="G2080" t="s">
        <v>7925</v>
      </c>
      <c r="H2080" t="str">
        <f>"01789 765522"</f>
        <v>01789 765522</v>
      </c>
    </row>
    <row r="2081" spans="1:8">
      <c r="A2081" t="s">
        <v>7922</v>
      </c>
      <c r="B2081" t="s">
        <v>7929</v>
      </c>
      <c r="D2081" t="s">
        <v>3959</v>
      </c>
      <c r="E2081" t="s">
        <v>236</v>
      </c>
      <c r="F2081" t="s">
        <v>7930</v>
      </c>
      <c r="G2081" t="s">
        <v>7925</v>
      </c>
      <c r="H2081" t="str">
        <f>"01543 414426"</f>
        <v>01543 414426</v>
      </c>
    </row>
    <row r="2082" spans="1:8">
      <c r="A2082" t="s">
        <v>7922</v>
      </c>
      <c r="B2082" t="s">
        <v>7931</v>
      </c>
      <c r="D2082" t="s">
        <v>4978</v>
      </c>
      <c r="E2082" t="s">
        <v>11</v>
      </c>
      <c r="F2082" t="s">
        <v>7932</v>
      </c>
      <c r="G2082" t="s">
        <v>7925</v>
      </c>
      <c r="H2082" t="str">
        <f>"01527 406363"</f>
        <v>01527 406363</v>
      </c>
    </row>
    <row r="2083" spans="1:8">
      <c r="A2083" t="s">
        <v>7922</v>
      </c>
      <c r="B2083" t="s">
        <v>7933</v>
      </c>
      <c r="D2083" t="s">
        <v>3194</v>
      </c>
      <c r="E2083" t="s">
        <v>16</v>
      </c>
      <c r="F2083" t="s">
        <v>4588</v>
      </c>
      <c r="G2083" t="s">
        <v>7925</v>
      </c>
      <c r="H2083" t="str">
        <f>"0121 705 2255"</f>
        <v>0121 705 2255</v>
      </c>
    </row>
    <row r="2084" spans="1:8">
      <c r="A2084" t="s">
        <v>7922</v>
      </c>
      <c r="B2084" t="s">
        <v>7934</v>
      </c>
      <c r="D2084" t="s">
        <v>4542</v>
      </c>
      <c r="E2084" t="s">
        <v>16</v>
      </c>
      <c r="F2084" t="s">
        <v>7935</v>
      </c>
      <c r="G2084" t="s">
        <v>7925</v>
      </c>
      <c r="H2084" t="str">
        <f>"0121 3556118"</f>
        <v>0121 3556118</v>
      </c>
    </row>
    <row r="2085" spans="1:8">
      <c r="A2085" t="s">
        <v>7922</v>
      </c>
      <c r="B2085" t="s">
        <v>7936</v>
      </c>
      <c r="D2085" t="s">
        <v>774</v>
      </c>
      <c r="E2085" t="s">
        <v>775</v>
      </c>
      <c r="F2085" t="s">
        <v>7937</v>
      </c>
      <c r="G2085" t="s">
        <v>7925</v>
      </c>
      <c r="H2085" t="str">
        <f>"0116 2559911"</f>
        <v>0116 2559911</v>
      </c>
    </row>
    <row r="2086" spans="1:8">
      <c r="A2086" t="s">
        <v>7922</v>
      </c>
      <c r="B2086" t="s">
        <v>7939</v>
      </c>
      <c r="D2086" t="s">
        <v>7938</v>
      </c>
      <c r="E2086" t="s">
        <v>297</v>
      </c>
      <c r="F2086" t="s">
        <v>7940</v>
      </c>
      <c r="G2086" t="s">
        <v>7925</v>
      </c>
      <c r="H2086" t="str">
        <f>"0161 7901411"</f>
        <v>0161 7901411</v>
      </c>
    </row>
    <row r="2087" spans="1:8">
      <c r="A2087" t="s">
        <v>7922</v>
      </c>
      <c r="B2087" t="s">
        <v>7942</v>
      </c>
      <c r="C2087" t="s">
        <v>7941</v>
      </c>
      <c r="D2087" t="s">
        <v>297</v>
      </c>
      <c r="E2087" t="s">
        <v>132</v>
      </c>
      <c r="F2087" t="s">
        <v>7943</v>
      </c>
      <c r="G2087" t="s">
        <v>7944</v>
      </c>
      <c r="H2087" t="str">
        <f>"0161 7967920"</f>
        <v>0161 7967920</v>
      </c>
    </row>
    <row r="2088" spans="1:8">
      <c r="A2088" t="s">
        <v>7922</v>
      </c>
      <c r="B2088" t="s">
        <v>7945</v>
      </c>
      <c r="D2088" t="s">
        <v>2311</v>
      </c>
      <c r="E2088" t="s">
        <v>132</v>
      </c>
      <c r="F2088" t="s">
        <v>7946</v>
      </c>
      <c r="G2088" t="s">
        <v>7925</v>
      </c>
      <c r="H2088" t="str">
        <f>"01942 673311 "</f>
        <v xml:space="preserve">01942 673311 </v>
      </c>
    </row>
    <row r="2089" spans="1:8">
      <c r="A2089" t="s">
        <v>7922</v>
      </c>
      <c r="B2089" t="s">
        <v>7947</v>
      </c>
      <c r="D2089" t="s">
        <v>5716</v>
      </c>
      <c r="F2089" t="s">
        <v>7948</v>
      </c>
      <c r="G2089" t="s">
        <v>7925</v>
      </c>
      <c r="H2089" t="str">
        <f>"01925 632267"</f>
        <v>01925 632267</v>
      </c>
    </row>
    <row r="2090" spans="1:8">
      <c r="A2090" t="s">
        <v>7922</v>
      </c>
      <c r="B2090" t="s">
        <v>7949</v>
      </c>
      <c r="D2090" t="s">
        <v>1313</v>
      </c>
      <c r="F2090" t="s">
        <v>7950</v>
      </c>
      <c r="G2090" t="s">
        <v>7925</v>
      </c>
      <c r="H2090" t="str">
        <f>"01942 244294 "</f>
        <v xml:space="preserve">01942 244294 </v>
      </c>
    </row>
    <row r="2091" spans="1:8">
      <c r="A2091" t="s">
        <v>7922</v>
      </c>
      <c r="B2091" t="s">
        <v>1846</v>
      </c>
      <c r="D2091" t="s">
        <v>7951</v>
      </c>
      <c r="E2091" t="s">
        <v>766</v>
      </c>
      <c r="F2091" t="s">
        <v>7952</v>
      </c>
      <c r="G2091" t="s">
        <v>7925</v>
      </c>
      <c r="H2091" t="str">
        <f>"01942 816515 "</f>
        <v xml:space="preserve">01942 816515 </v>
      </c>
    </row>
    <row r="2092" spans="1:8">
      <c r="A2092" t="s">
        <v>7922</v>
      </c>
      <c r="B2092" t="s">
        <v>7953</v>
      </c>
      <c r="D2092" t="s">
        <v>1190</v>
      </c>
      <c r="E2092" t="s">
        <v>397</v>
      </c>
      <c r="F2092" t="s">
        <v>7954</v>
      </c>
      <c r="G2092" t="s">
        <v>7925</v>
      </c>
      <c r="H2092" t="str">
        <f>"01234 400000"</f>
        <v>01234 400000</v>
      </c>
    </row>
    <row r="2093" spans="1:8">
      <c r="A2093" t="s">
        <v>7922</v>
      </c>
      <c r="B2093" t="s">
        <v>7955</v>
      </c>
      <c r="D2093" t="s">
        <v>2005</v>
      </c>
      <c r="E2093" t="s">
        <v>2006</v>
      </c>
      <c r="F2093" t="s">
        <v>7956</v>
      </c>
      <c r="G2093" t="s">
        <v>7925</v>
      </c>
      <c r="H2093" t="str">
        <f>"020 8907 4366"</f>
        <v>020 8907 4366</v>
      </c>
    </row>
    <row r="2094" spans="1:8">
      <c r="A2094" t="s">
        <v>7922</v>
      </c>
      <c r="B2094" t="s">
        <v>7957</v>
      </c>
      <c r="C2094" t="s">
        <v>7958</v>
      </c>
      <c r="D2094" t="s">
        <v>396</v>
      </c>
      <c r="E2094" t="s">
        <v>397</v>
      </c>
      <c r="F2094" t="s">
        <v>7959</v>
      </c>
      <c r="G2094" t="s">
        <v>7925</v>
      </c>
      <c r="H2094" t="str">
        <f>"01582 453 366"</f>
        <v>01582 453 366</v>
      </c>
    </row>
    <row r="2095" spans="1:8">
      <c r="A2095" t="s">
        <v>7922</v>
      </c>
      <c r="B2095" t="s">
        <v>7960</v>
      </c>
      <c r="D2095" t="s">
        <v>1179</v>
      </c>
      <c r="E2095" t="s">
        <v>1180</v>
      </c>
      <c r="F2095" t="s">
        <v>5591</v>
      </c>
      <c r="G2095" t="s">
        <v>7925</v>
      </c>
      <c r="H2095" t="str">
        <f>"01604 233 200"</f>
        <v>01604 233 200</v>
      </c>
    </row>
    <row r="2096" spans="1:8">
      <c r="A2096" t="s">
        <v>7922</v>
      </c>
      <c r="B2096" t="s">
        <v>7961</v>
      </c>
      <c r="C2096" t="s">
        <v>7962</v>
      </c>
      <c r="D2096" t="s">
        <v>24</v>
      </c>
      <c r="F2096" t="s">
        <v>7963</v>
      </c>
      <c r="G2096" t="s">
        <v>7964</v>
      </c>
      <c r="H2096" t="str">
        <f>"01386 425300"</f>
        <v>01386 425300</v>
      </c>
    </row>
    <row r="2097" spans="1:8">
      <c r="A2097" t="s">
        <v>7965</v>
      </c>
      <c r="B2097" t="s">
        <v>7966</v>
      </c>
      <c r="D2097" t="s">
        <v>7967</v>
      </c>
      <c r="E2097" t="s">
        <v>280</v>
      </c>
      <c r="F2097" t="s">
        <v>7968</v>
      </c>
      <c r="G2097" t="s">
        <v>7969</v>
      </c>
      <c r="H2097" t="str">
        <f>"01274 723858"</f>
        <v>01274 723858</v>
      </c>
    </row>
    <row r="2098" spans="1:8">
      <c r="A2098" t="s">
        <v>7965</v>
      </c>
      <c r="B2098" t="s">
        <v>7970</v>
      </c>
      <c r="D2098" t="s">
        <v>7971</v>
      </c>
      <c r="E2098" t="s">
        <v>280</v>
      </c>
      <c r="F2098" t="s">
        <v>7972</v>
      </c>
      <c r="G2098" t="s">
        <v>7969</v>
      </c>
      <c r="H2098" t="str">
        <f>"01943 601173"</f>
        <v>01943 601173</v>
      </c>
    </row>
    <row r="2099" spans="1:8">
      <c r="A2099" t="s">
        <v>7973</v>
      </c>
      <c r="B2099" t="s">
        <v>7974</v>
      </c>
      <c r="C2099" t="s">
        <v>4990</v>
      </c>
      <c r="D2099" t="s">
        <v>152</v>
      </c>
      <c r="E2099" t="s">
        <v>153</v>
      </c>
      <c r="F2099" t="s">
        <v>7975</v>
      </c>
      <c r="G2099" t="s">
        <v>7976</v>
      </c>
      <c r="H2099" t="str">
        <f>"01189478638"</f>
        <v>01189478638</v>
      </c>
    </row>
    <row r="2100" spans="1:8">
      <c r="A2100" t="s">
        <v>7977</v>
      </c>
      <c r="B2100" t="s">
        <v>7978</v>
      </c>
      <c r="D2100" t="s">
        <v>297</v>
      </c>
      <c r="F2100" t="s">
        <v>7979</v>
      </c>
      <c r="G2100" t="s">
        <v>7980</v>
      </c>
      <c r="H2100" t="str">
        <f>"0161 236 0662"</f>
        <v>0161 236 0662</v>
      </c>
    </row>
    <row r="2101" spans="1:8">
      <c r="A2101" t="s">
        <v>7977</v>
      </c>
      <c r="B2101" t="s">
        <v>7981</v>
      </c>
      <c r="C2101" t="s">
        <v>7982</v>
      </c>
      <c r="D2101" t="s">
        <v>420</v>
      </c>
      <c r="E2101" t="s">
        <v>132</v>
      </c>
      <c r="F2101" t="s">
        <v>7983</v>
      </c>
      <c r="G2101" t="s">
        <v>7980</v>
      </c>
      <c r="H2101" t="str">
        <f>"01772 561663"</f>
        <v>01772 561663</v>
      </c>
    </row>
    <row r="2102" spans="1:8">
      <c r="A2102" t="s">
        <v>7977</v>
      </c>
      <c r="B2102" t="s">
        <v>7984</v>
      </c>
      <c r="C2102" t="s">
        <v>7985</v>
      </c>
      <c r="D2102" t="s">
        <v>2816</v>
      </c>
      <c r="E2102" t="s">
        <v>893</v>
      </c>
      <c r="F2102" t="s">
        <v>7986</v>
      </c>
      <c r="G2102" t="s">
        <v>7980</v>
      </c>
      <c r="H2102" t="str">
        <f>"01772 561663"</f>
        <v>01772 561663</v>
      </c>
    </row>
    <row r="2103" spans="1:8">
      <c r="A2103" t="s">
        <v>7987</v>
      </c>
      <c r="B2103" t="s">
        <v>7988</v>
      </c>
      <c r="D2103" t="s">
        <v>6499</v>
      </c>
      <c r="E2103" t="s">
        <v>742</v>
      </c>
      <c r="F2103" t="s">
        <v>7989</v>
      </c>
      <c r="G2103" t="s">
        <v>7990</v>
      </c>
      <c r="H2103" t="str">
        <f>"01953 606351"</f>
        <v>01953 606351</v>
      </c>
    </row>
    <row r="2104" spans="1:8">
      <c r="A2104" t="s">
        <v>7987</v>
      </c>
      <c r="B2104" t="s">
        <v>7991</v>
      </c>
      <c r="C2104" t="s">
        <v>7992</v>
      </c>
      <c r="D2104" t="s">
        <v>741</v>
      </c>
      <c r="E2104" t="s">
        <v>742</v>
      </c>
      <c r="F2104" t="s">
        <v>7993</v>
      </c>
      <c r="G2104" t="s">
        <v>7990</v>
      </c>
      <c r="H2104" t="str">
        <f>"01263 732123"</f>
        <v>01263 732123</v>
      </c>
    </row>
    <row r="2105" spans="1:8">
      <c r="A2105" t="s">
        <v>7987</v>
      </c>
      <c r="B2105" t="s">
        <v>7994</v>
      </c>
      <c r="C2105" t="s">
        <v>7995</v>
      </c>
      <c r="D2105" t="s">
        <v>741</v>
      </c>
      <c r="E2105" t="s">
        <v>742</v>
      </c>
      <c r="F2105" t="s">
        <v>7996</v>
      </c>
      <c r="G2105" t="s">
        <v>7990</v>
      </c>
      <c r="H2105" t="str">
        <f>"01603 677077"</f>
        <v>01603 677077</v>
      </c>
    </row>
    <row r="2106" spans="1:8">
      <c r="A2106" t="s">
        <v>7987</v>
      </c>
      <c r="B2106" t="s">
        <v>7997</v>
      </c>
      <c r="D2106" t="s">
        <v>7998</v>
      </c>
      <c r="E2106" t="s">
        <v>742</v>
      </c>
      <c r="F2106" t="s">
        <v>7999</v>
      </c>
      <c r="G2106" t="s">
        <v>7990</v>
      </c>
      <c r="H2106" t="str">
        <f>"01362 698858"</f>
        <v>01362 698858</v>
      </c>
    </row>
    <row r="2107" spans="1:8">
      <c r="A2107" t="s">
        <v>7987</v>
      </c>
      <c r="B2107" t="s">
        <v>8000</v>
      </c>
      <c r="D2107" t="s">
        <v>8001</v>
      </c>
      <c r="E2107" t="s">
        <v>742</v>
      </c>
      <c r="F2107" t="s">
        <v>8002</v>
      </c>
      <c r="G2107" t="s">
        <v>7990</v>
      </c>
      <c r="H2107" t="str">
        <f>"01953 453143"</f>
        <v>01953 453143</v>
      </c>
    </row>
    <row r="2108" spans="1:8">
      <c r="A2108" t="s">
        <v>7987</v>
      </c>
      <c r="B2108" t="s">
        <v>8003</v>
      </c>
      <c r="D2108" t="s">
        <v>8004</v>
      </c>
      <c r="E2108" t="s">
        <v>742</v>
      </c>
      <c r="F2108" t="s">
        <v>8005</v>
      </c>
      <c r="G2108" t="s">
        <v>7990</v>
      </c>
      <c r="H2108" t="str">
        <f>"01379 641221"</f>
        <v>01379 641221</v>
      </c>
    </row>
    <row r="2109" spans="1:8">
      <c r="A2109" t="s">
        <v>7987</v>
      </c>
      <c r="B2109" t="s">
        <v>7663</v>
      </c>
      <c r="C2109" t="s">
        <v>8006</v>
      </c>
      <c r="D2109" t="s">
        <v>5006</v>
      </c>
      <c r="E2109" t="s">
        <v>742</v>
      </c>
      <c r="F2109" t="s">
        <v>8007</v>
      </c>
      <c r="G2109" t="s">
        <v>7990</v>
      </c>
      <c r="H2109" t="str">
        <f>"01953 882864"</f>
        <v>01953 882864</v>
      </c>
    </row>
    <row r="2110" spans="1:8">
      <c r="A2110" t="s">
        <v>8008</v>
      </c>
      <c r="B2110" t="s">
        <v>8009</v>
      </c>
      <c r="D2110" t="s">
        <v>3194</v>
      </c>
      <c r="E2110" t="s">
        <v>16</v>
      </c>
      <c r="F2110" t="s">
        <v>8010</v>
      </c>
      <c r="G2110" t="s">
        <v>8011</v>
      </c>
      <c r="H2110" t="str">
        <f>"0121 7057571"</f>
        <v>0121 7057571</v>
      </c>
    </row>
    <row r="2111" spans="1:8">
      <c r="A2111" t="s">
        <v>8008</v>
      </c>
      <c r="B2111" t="s">
        <v>8013</v>
      </c>
      <c r="C2111" t="s">
        <v>8012</v>
      </c>
      <c r="D2111" t="s">
        <v>3194</v>
      </c>
      <c r="E2111" t="s">
        <v>16</v>
      </c>
      <c r="F2111" t="s">
        <v>8014</v>
      </c>
      <c r="G2111" t="s">
        <v>8015</v>
      </c>
      <c r="H2111" t="str">
        <f>"01564 779393"</f>
        <v>01564 779393</v>
      </c>
    </row>
    <row r="2112" spans="1:8">
      <c r="A2112" t="s">
        <v>8016</v>
      </c>
      <c r="B2112" t="s">
        <v>8017</v>
      </c>
      <c r="D2112" t="s">
        <v>88</v>
      </c>
      <c r="E2112" t="s">
        <v>520</v>
      </c>
      <c r="F2112" t="s">
        <v>2169</v>
      </c>
      <c r="G2112" t="s">
        <v>8018</v>
      </c>
      <c r="H2112" t="str">
        <f>"01323412333"</f>
        <v>01323412333</v>
      </c>
    </row>
    <row r="2113" spans="1:8">
      <c r="A2113" t="s">
        <v>8019</v>
      </c>
      <c r="B2113" t="s">
        <v>8020</v>
      </c>
      <c r="D2113" t="s">
        <v>1202</v>
      </c>
      <c r="E2113" t="s">
        <v>1180</v>
      </c>
      <c r="F2113" t="s">
        <v>8021</v>
      </c>
      <c r="G2113" t="s">
        <v>8022</v>
      </c>
      <c r="H2113" t="str">
        <f>"01933278259"</f>
        <v>01933278259</v>
      </c>
    </row>
    <row r="2114" spans="1:8">
      <c r="A2114" t="s">
        <v>8023</v>
      </c>
      <c r="B2114" t="s">
        <v>8024</v>
      </c>
      <c r="D2114" t="s">
        <v>8025</v>
      </c>
      <c r="E2114" t="s">
        <v>8026</v>
      </c>
      <c r="F2114" t="s">
        <v>8027</v>
      </c>
      <c r="G2114" t="s">
        <v>8028</v>
      </c>
      <c r="H2114" t="str">
        <f>"0146061000"</f>
        <v>0146061000</v>
      </c>
    </row>
    <row r="2115" spans="1:8">
      <c r="A2115" t="s">
        <v>8023</v>
      </c>
      <c r="B2115" t="s">
        <v>8029</v>
      </c>
      <c r="D2115" t="s">
        <v>8030</v>
      </c>
      <c r="E2115" t="s">
        <v>309</v>
      </c>
      <c r="F2115" t="s">
        <v>8031</v>
      </c>
      <c r="G2115" t="s">
        <v>8032</v>
      </c>
      <c r="H2115" t="str">
        <f>"0129732206"</f>
        <v>0129732206</v>
      </c>
    </row>
    <row r="2116" spans="1:8">
      <c r="A2116" t="s">
        <v>8023</v>
      </c>
      <c r="B2116" t="s">
        <v>8033</v>
      </c>
      <c r="D2116" t="s">
        <v>2658</v>
      </c>
      <c r="E2116" t="s">
        <v>309</v>
      </c>
      <c r="F2116" t="s">
        <v>8034</v>
      </c>
      <c r="G2116" t="s">
        <v>8035</v>
      </c>
      <c r="H2116" t="str">
        <f>"0129720528"</f>
        <v>0129720528</v>
      </c>
    </row>
    <row r="2117" spans="1:8">
      <c r="A2117" t="s">
        <v>8023</v>
      </c>
      <c r="B2117" t="s">
        <v>8036</v>
      </c>
      <c r="C2117" t="s">
        <v>7686</v>
      </c>
      <c r="D2117" t="s">
        <v>4561</v>
      </c>
      <c r="E2117" t="s">
        <v>464</v>
      </c>
      <c r="F2117" t="s">
        <v>8037</v>
      </c>
      <c r="G2117" t="s">
        <v>8038</v>
      </c>
      <c r="H2117" t="str">
        <f>"0146055445"</f>
        <v>0146055445</v>
      </c>
    </row>
    <row r="2118" spans="1:8">
      <c r="A2118" t="s">
        <v>8039</v>
      </c>
      <c r="B2118" t="s">
        <v>8040</v>
      </c>
      <c r="D2118" t="s">
        <v>286</v>
      </c>
      <c r="E2118" t="s">
        <v>1033</v>
      </c>
      <c r="F2118" t="s">
        <v>8041</v>
      </c>
      <c r="G2118" t="s">
        <v>8042</v>
      </c>
      <c r="H2118" t="str">
        <f>"01246560560"</f>
        <v>01246560560</v>
      </c>
    </row>
    <row r="2119" spans="1:8">
      <c r="A2119" t="s">
        <v>8039</v>
      </c>
      <c r="B2119" t="s">
        <v>8043</v>
      </c>
      <c r="D2119" t="s">
        <v>1024</v>
      </c>
      <c r="E2119" t="s">
        <v>227</v>
      </c>
      <c r="F2119" t="s">
        <v>8044</v>
      </c>
      <c r="G2119" t="s">
        <v>8045</v>
      </c>
      <c r="H2119" t="str">
        <f>"0114 2755266"</f>
        <v>0114 2755266</v>
      </c>
    </row>
    <row r="2120" spans="1:8">
      <c r="A2120" t="s">
        <v>8039</v>
      </c>
      <c r="B2120" t="s">
        <v>8046</v>
      </c>
      <c r="D2120" t="s">
        <v>2739</v>
      </c>
      <c r="E2120" t="s">
        <v>410</v>
      </c>
      <c r="F2120" t="s">
        <v>8047</v>
      </c>
      <c r="G2120" t="s">
        <v>8045</v>
      </c>
      <c r="H2120" t="str">
        <f>"01623 675800"</f>
        <v>01623 675800</v>
      </c>
    </row>
    <row r="2121" spans="1:8">
      <c r="A2121" t="s">
        <v>8039</v>
      </c>
      <c r="B2121" t="s">
        <v>8048</v>
      </c>
      <c r="D2121" t="s">
        <v>7511</v>
      </c>
      <c r="E2121" t="s">
        <v>1033</v>
      </c>
      <c r="F2121" t="s">
        <v>8049</v>
      </c>
      <c r="G2121" t="s">
        <v>8045</v>
      </c>
      <c r="H2121" t="str">
        <f>"01246 414438"</f>
        <v>01246 414438</v>
      </c>
    </row>
    <row r="2122" spans="1:8">
      <c r="A2122" t="s">
        <v>8050</v>
      </c>
      <c r="B2122" t="s">
        <v>8051</v>
      </c>
      <c r="D2122" t="s">
        <v>8052</v>
      </c>
      <c r="E2122" t="s">
        <v>16</v>
      </c>
      <c r="F2122" t="s">
        <v>8053</v>
      </c>
      <c r="G2122" t="s">
        <v>8054</v>
      </c>
      <c r="H2122" t="str">
        <f>"0845 458 6291"</f>
        <v>0845 458 6291</v>
      </c>
    </row>
    <row r="2123" spans="1:8">
      <c r="A2123" t="s">
        <v>8050</v>
      </c>
      <c r="B2123" t="s">
        <v>8055</v>
      </c>
      <c r="C2123" t="s">
        <v>8056</v>
      </c>
      <c r="D2123" t="s">
        <v>1874</v>
      </c>
      <c r="E2123" t="s">
        <v>153</v>
      </c>
      <c r="F2123" t="s">
        <v>8057</v>
      </c>
      <c r="G2123" t="s">
        <v>8054</v>
      </c>
      <c r="H2123" t="str">
        <f>"0845 458 6293"</f>
        <v>0845 458 6293</v>
      </c>
    </row>
    <row r="2124" spans="1:8">
      <c r="A2124" t="s">
        <v>8058</v>
      </c>
      <c r="B2124" t="s">
        <v>8059</v>
      </c>
      <c r="C2124" t="s">
        <v>8060</v>
      </c>
      <c r="D2124" t="s">
        <v>61</v>
      </c>
      <c r="E2124" t="s">
        <v>1956</v>
      </c>
      <c r="F2124" t="s">
        <v>8061</v>
      </c>
      <c r="G2124" t="s">
        <v>8062</v>
      </c>
      <c r="H2124" t="str">
        <f>"01454619619"</f>
        <v>01454619619</v>
      </c>
    </row>
    <row r="2125" spans="1:8">
      <c r="A2125" t="s">
        <v>8058</v>
      </c>
      <c r="B2125" t="s">
        <v>8063</v>
      </c>
      <c r="D2125" t="s">
        <v>52</v>
      </c>
      <c r="E2125" t="s">
        <v>53</v>
      </c>
      <c r="F2125" t="s">
        <v>8064</v>
      </c>
      <c r="G2125" t="s">
        <v>8062</v>
      </c>
      <c r="H2125" t="str">
        <f>"01452 612345"</f>
        <v>01452 612345</v>
      </c>
    </row>
    <row r="2126" spans="1:8">
      <c r="A2126" t="s">
        <v>8058</v>
      </c>
      <c r="B2126" t="s">
        <v>8065</v>
      </c>
      <c r="D2126" t="s">
        <v>14</v>
      </c>
      <c r="E2126" t="s">
        <v>16</v>
      </c>
      <c r="F2126" t="s">
        <v>8066</v>
      </c>
      <c r="G2126" t="s">
        <v>8062</v>
      </c>
      <c r="H2126" t="str">
        <f>"0121 616 4450"</f>
        <v>0121 616 4450</v>
      </c>
    </row>
    <row r="2127" spans="1:8">
      <c r="A2127" t="s">
        <v>8058</v>
      </c>
      <c r="B2127" t="s">
        <v>8067</v>
      </c>
      <c r="D2127" t="s">
        <v>57</v>
      </c>
      <c r="F2127" t="s">
        <v>8068</v>
      </c>
      <c r="G2127" t="s">
        <v>8062</v>
      </c>
      <c r="H2127" t="str">
        <f>"0207 486 2908"</f>
        <v>0207 486 2908</v>
      </c>
    </row>
    <row r="2128" spans="1:8">
      <c r="A2128" t="s">
        <v>8069</v>
      </c>
      <c r="B2128" t="s">
        <v>8070</v>
      </c>
      <c r="D2128" t="s">
        <v>158</v>
      </c>
      <c r="E2128" t="s">
        <v>53</v>
      </c>
      <c r="F2128" t="s">
        <v>3107</v>
      </c>
      <c r="G2128" t="s">
        <v>8071</v>
      </c>
      <c r="H2128" t="str">
        <f>"01242587900"</f>
        <v>01242587900</v>
      </c>
    </row>
    <row r="2129" spans="1:8">
      <c r="A2129" t="s">
        <v>8072</v>
      </c>
      <c r="B2129" t="s">
        <v>8073</v>
      </c>
      <c r="D2129" t="s">
        <v>14</v>
      </c>
      <c r="E2129" t="s">
        <v>16</v>
      </c>
      <c r="F2129" t="s">
        <v>8074</v>
      </c>
      <c r="G2129" t="s">
        <v>8075</v>
      </c>
      <c r="H2129" t="str">
        <f>"0121 214 0000"</f>
        <v>0121 214 0000</v>
      </c>
    </row>
    <row r="2130" spans="1:8">
      <c r="A2130" t="s">
        <v>8072</v>
      </c>
      <c r="B2130" t="s">
        <v>8076</v>
      </c>
      <c r="D2130" t="s">
        <v>4596</v>
      </c>
      <c r="E2130" t="s">
        <v>1200</v>
      </c>
      <c r="F2130" t="s">
        <v>8077</v>
      </c>
      <c r="G2130" t="s">
        <v>8075</v>
      </c>
      <c r="H2130" t="str">
        <f>"01789 416400"</f>
        <v>01789 416400</v>
      </c>
    </row>
    <row r="2131" spans="1:8">
      <c r="A2131" t="s">
        <v>8072</v>
      </c>
      <c r="B2131" t="s">
        <v>8078</v>
      </c>
      <c r="D2131" t="s">
        <v>774</v>
      </c>
      <c r="E2131" t="s">
        <v>775</v>
      </c>
      <c r="F2131" t="s">
        <v>6738</v>
      </c>
      <c r="G2131" t="s">
        <v>8075</v>
      </c>
      <c r="H2131" t="str">
        <f>"0116 254 5454"</f>
        <v>0116 254 5454</v>
      </c>
    </row>
    <row r="2132" spans="1:8">
      <c r="A2132" t="s">
        <v>8072</v>
      </c>
      <c r="B2132" t="s">
        <v>8079</v>
      </c>
      <c r="D2132" t="s">
        <v>187</v>
      </c>
      <c r="F2132" t="s">
        <v>8080</v>
      </c>
      <c r="G2132" t="s">
        <v>8075</v>
      </c>
      <c r="H2132" t="str">
        <f>"01908 696 002"</f>
        <v>01908 696 002</v>
      </c>
    </row>
    <row r="2133" spans="1:8">
      <c r="A2133" t="s">
        <v>8072</v>
      </c>
      <c r="B2133" t="s">
        <v>8081</v>
      </c>
      <c r="C2133" t="s">
        <v>8082</v>
      </c>
      <c r="D2133" t="s">
        <v>409</v>
      </c>
      <c r="E2133" t="s">
        <v>410</v>
      </c>
      <c r="F2133" t="s">
        <v>6747</v>
      </c>
      <c r="G2133" t="s">
        <v>8075</v>
      </c>
      <c r="H2133" t="str">
        <f>"0115 945 3700 "</f>
        <v xml:space="preserve">0115 945 3700 </v>
      </c>
    </row>
    <row r="2134" spans="1:8">
      <c r="A2134" t="s">
        <v>8072</v>
      </c>
      <c r="B2134" t="s">
        <v>8083</v>
      </c>
      <c r="C2134" t="s">
        <v>8084</v>
      </c>
      <c r="D2134" t="s">
        <v>57</v>
      </c>
      <c r="F2134" t="s">
        <v>8085</v>
      </c>
      <c r="G2134" t="s">
        <v>8086</v>
      </c>
      <c r="H2134" t="str">
        <f>"0207 264 4444"</f>
        <v>0207 264 4444</v>
      </c>
    </row>
    <row r="2135" spans="1:8">
      <c r="A2135" t="s">
        <v>8072</v>
      </c>
      <c r="B2135" t="s">
        <v>8087</v>
      </c>
      <c r="D2135" t="s">
        <v>61</v>
      </c>
      <c r="F2135" t="s">
        <v>8088</v>
      </c>
      <c r="G2135" t="s">
        <v>8075</v>
      </c>
      <c r="H2135" t="str">
        <f>"0117 906 9400"</f>
        <v>0117 906 9400</v>
      </c>
    </row>
    <row r="2136" spans="1:8">
      <c r="A2136" t="s">
        <v>8072</v>
      </c>
      <c r="B2136" t="s">
        <v>8089</v>
      </c>
      <c r="D2136" t="s">
        <v>291</v>
      </c>
      <c r="F2136" t="s">
        <v>8090</v>
      </c>
      <c r="G2136" t="s">
        <v>8075</v>
      </c>
      <c r="H2136" t="str">
        <f>"0330 024 0333"</f>
        <v>0330 024 0333</v>
      </c>
    </row>
    <row r="2137" spans="1:8">
      <c r="A2137" t="s">
        <v>8072</v>
      </c>
      <c r="B2137" t="s">
        <v>8091</v>
      </c>
      <c r="D2137" t="s">
        <v>8092</v>
      </c>
      <c r="F2137" t="s">
        <v>8093</v>
      </c>
      <c r="G2137" t="s">
        <v>8075</v>
      </c>
      <c r="H2137" t="str">
        <f>"01273 477071"</f>
        <v>01273 477071</v>
      </c>
    </row>
    <row r="2138" spans="1:8">
      <c r="A2138" t="s">
        <v>8072</v>
      </c>
      <c r="B2138" t="s">
        <v>8094</v>
      </c>
      <c r="D2138" t="s">
        <v>88</v>
      </c>
      <c r="F2138" t="s">
        <v>8095</v>
      </c>
      <c r="G2138" t="s">
        <v>8075</v>
      </c>
      <c r="H2138" t="str">
        <f>"01323 730543"</f>
        <v>01323 730543</v>
      </c>
    </row>
    <row r="2139" spans="1:8">
      <c r="A2139" t="s">
        <v>8072</v>
      </c>
      <c r="B2139" t="s">
        <v>8096</v>
      </c>
      <c r="D2139" t="s">
        <v>2681</v>
      </c>
      <c r="F2139" t="s">
        <v>2682</v>
      </c>
      <c r="G2139" t="s">
        <v>8075</v>
      </c>
      <c r="H2139" t="str">
        <f>"01342 310600"</f>
        <v>01342 310600</v>
      </c>
    </row>
    <row r="2140" spans="1:8">
      <c r="A2140" t="s">
        <v>8072</v>
      </c>
      <c r="B2140" t="s">
        <v>8097</v>
      </c>
      <c r="D2140" t="s">
        <v>7898</v>
      </c>
      <c r="E2140" t="s">
        <v>520</v>
      </c>
      <c r="F2140" t="s">
        <v>8098</v>
      </c>
      <c r="G2140" t="s">
        <v>8075</v>
      </c>
      <c r="H2140" t="str">
        <f>"01323 891412"</f>
        <v>01323 891412</v>
      </c>
    </row>
    <row r="2141" spans="1:8">
      <c r="A2141" t="s">
        <v>8072</v>
      </c>
      <c r="B2141" t="s">
        <v>8099</v>
      </c>
      <c r="D2141" t="s">
        <v>8100</v>
      </c>
      <c r="F2141" t="s">
        <v>8101</v>
      </c>
      <c r="G2141" t="s">
        <v>8075</v>
      </c>
      <c r="H2141" t="str">
        <f>"01903 743201"</f>
        <v>01903 743201</v>
      </c>
    </row>
    <row r="2142" spans="1:8">
      <c r="A2142" t="s">
        <v>8072</v>
      </c>
      <c r="B2142" t="s">
        <v>8102</v>
      </c>
      <c r="D2142" t="s">
        <v>1743</v>
      </c>
      <c r="F2142" t="s">
        <v>8103</v>
      </c>
      <c r="G2142" t="s">
        <v>8075</v>
      </c>
      <c r="H2142" t="str">
        <f>"01293 649049"</f>
        <v>01293 649049</v>
      </c>
    </row>
    <row r="2143" spans="1:8">
      <c r="A2143" t="s">
        <v>8072</v>
      </c>
      <c r="B2143" t="s">
        <v>8104</v>
      </c>
      <c r="D2143" t="s">
        <v>76</v>
      </c>
      <c r="F2143" t="s">
        <v>8105</v>
      </c>
      <c r="G2143" t="s">
        <v>8106</v>
      </c>
      <c r="H2143" t="str">
        <f>"01273 775533"</f>
        <v>01273 775533</v>
      </c>
    </row>
    <row r="2144" spans="1:8">
      <c r="A2144" t="s">
        <v>8072</v>
      </c>
      <c r="B2144" t="s">
        <v>8107</v>
      </c>
      <c r="D2144" t="s">
        <v>7909</v>
      </c>
      <c r="F2144" t="s">
        <v>8108</v>
      </c>
      <c r="G2144" t="s">
        <v>8075</v>
      </c>
      <c r="H2144" t="str">
        <f>"01273 582680"</f>
        <v>01273 582680</v>
      </c>
    </row>
    <row r="2145" spans="1:8">
      <c r="A2145" t="s">
        <v>8072</v>
      </c>
      <c r="B2145" t="s">
        <v>8109</v>
      </c>
      <c r="D2145" t="s">
        <v>1779</v>
      </c>
      <c r="F2145" t="s">
        <v>8110</v>
      </c>
      <c r="G2145" t="s">
        <v>8075</v>
      </c>
      <c r="H2145" t="str">
        <f>"01243 836840"</f>
        <v>01243 836840</v>
      </c>
    </row>
    <row r="2146" spans="1:8">
      <c r="A2146" t="s">
        <v>8111</v>
      </c>
      <c r="B2146" t="s">
        <v>8112</v>
      </c>
      <c r="D2146" t="s">
        <v>297</v>
      </c>
      <c r="E2146" t="s">
        <v>132</v>
      </c>
      <c r="F2146" t="s">
        <v>8113</v>
      </c>
      <c r="G2146" t="s">
        <v>8114</v>
      </c>
      <c r="H2146" t="str">
        <f>"0161 220 6040"</f>
        <v>0161 220 6040</v>
      </c>
    </row>
    <row r="2147" spans="1:8">
      <c r="A2147" t="s">
        <v>8115</v>
      </c>
      <c r="B2147" t="s">
        <v>8116</v>
      </c>
      <c r="C2147" t="s">
        <v>8117</v>
      </c>
      <c r="D2147" t="s">
        <v>355</v>
      </c>
      <c r="E2147" t="s">
        <v>280</v>
      </c>
      <c r="F2147" t="s">
        <v>8118</v>
      </c>
      <c r="G2147" t="s">
        <v>8119</v>
      </c>
      <c r="H2147" t="str">
        <f>"0113 284 5000"</f>
        <v>0113 284 5000</v>
      </c>
    </row>
    <row r="2148" spans="1:8">
      <c r="A2148" t="s">
        <v>8115</v>
      </c>
      <c r="B2148" t="s">
        <v>8120</v>
      </c>
      <c r="C2148" t="s">
        <v>7175</v>
      </c>
      <c r="D2148" t="s">
        <v>355</v>
      </c>
      <c r="F2148" t="s">
        <v>8121</v>
      </c>
      <c r="G2148" t="s">
        <v>8122</v>
      </c>
      <c r="H2148" t="str">
        <f>"0113 2326530"</f>
        <v>0113 2326530</v>
      </c>
    </row>
    <row r="2149" spans="1:8">
      <c r="A2149" t="s">
        <v>8115</v>
      </c>
      <c r="B2149" t="s">
        <v>6022</v>
      </c>
      <c r="C2149" t="s">
        <v>5327</v>
      </c>
      <c r="D2149" t="s">
        <v>355</v>
      </c>
      <c r="F2149" t="s">
        <v>8123</v>
      </c>
      <c r="G2149" t="s">
        <v>8124</v>
      </c>
      <c r="H2149" t="str">
        <f>"0113 2861455"</f>
        <v>0113 2861455</v>
      </c>
    </row>
    <row r="2150" spans="1:8">
      <c r="A2150" t="s">
        <v>8115</v>
      </c>
      <c r="B2150" t="s">
        <v>8125</v>
      </c>
      <c r="D2150" t="s">
        <v>4679</v>
      </c>
      <c r="E2150" t="s">
        <v>355</v>
      </c>
      <c r="F2150" t="s">
        <v>8126</v>
      </c>
      <c r="G2150" t="s">
        <v>8127</v>
      </c>
      <c r="H2150" t="str">
        <f>"01943 889080"</f>
        <v>01943 889080</v>
      </c>
    </row>
    <row r="2151" spans="1:8">
      <c r="A2151" t="s">
        <v>8115</v>
      </c>
      <c r="B2151" t="s">
        <v>8128</v>
      </c>
      <c r="D2151" t="s">
        <v>1341</v>
      </c>
      <c r="E2151" t="s">
        <v>280</v>
      </c>
      <c r="F2151" t="s">
        <v>8129</v>
      </c>
      <c r="G2151" t="s">
        <v>8130</v>
      </c>
      <c r="H2151" t="str">
        <f>"01943 889100"</f>
        <v>01943 889100</v>
      </c>
    </row>
    <row r="2152" spans="1:8">
      <c r="A2152" t="s">
        <v>8115</v>
      </c>
      <c r="B2152" t="s">
        <v>8131</v>
      </c>
      <c r="C2152" t="s">
        <v>2759</v>
      </c>
      <c r="D2152" t="s">
        <v>355</v>
      </c>
      <c r="F2152" t="s">
        <v>2760</v>
      </c>
      <c r="G2152" t="s">
        <v>8132</v>
      </c>
      <c r="H2152" t="str">
        <f>"0113 2520331"</f>
        <v>0113 2520331</v>
      </c>
    </row>
    <row r="2153" spans="1:8">
      <c r="A2153" t="s">
        <v>8115</v>
      </c>
      <c r="B2153" t="s">
        <v>8134</v>
      </c>
      <c r="C2153" t="s">
        <v>8133</v>
      </c>
      <c r="D2153" t="s">
        <v>355</v>
      </c>
      <c r="F2153" t="s">
        <v>8135</v>
      </c>
      <c r="G2153" t="s">
        <v>8136</v>
      </c>
      <c r="H2153" t="str">
        <f>"0113 200 7444"</f>
        <v>0113 200 7444</v>
      </c>
    </row>
    <row r="2154" spans="1:8">
      <c r="A2154" t="s">
        <v>8115</v>
      </c>
      <c r="B2154" t="s">
        <v>8137</v>
      </c>
      <c r="D2154" t="s">
        <v>1390</v>
      </c>
      <c r="E2154" t="s">
        <v>280</v>
      </c>
      <c r="F2154" t="s">
        <v>8138</v>
      </c>
      <c r="G2154" t="s">
        <v>8139</v>
      </c>
      <c r="H2154" t="str">
        <f>"01977 557171"</f>
        <v>01977 557171</v>
      </c>
    </row>
    <row r="2155" spans="1:8">
      <c r="A2155" t="s">
        <v>8115</v>
      </c>
      <c r="B2155" t="s">
        <v>8140</v>
      </c>
      <c r="C2155" t="s">
        <v>8141</v>
      </c>
      <c r="D2155" t="s">
        <v>1394</v>
      </c>
      <c r="E2155" t="s">
        <v>280</v>
      </c>
      <c r="F2155" t="s">
        <v>8142</v>
      </c>
      <c r="G2155" t="s">
        <v>8143</v>
      </c>
      <c r="H2155" t="str">
        <f>"01977 600960"</f>
        <v>01977 600960</v>
      </c>
    </row>
    <row r="2156" spans="1:8">
      <c r="A2156" t="s">
        <v>8115</v>
      </c>
      <c r="B2156" t="s">
        <v>8144</v>
      </c>
      <c r="D2156" t="s">
        <v>429</v>
      </c>
      <c r="E2156" t="s">
        <v>280</v>
      </c>
      <c r="F2156" t="s">
        <v>8145</v>
      </c>
      <c r="G2156" t="s">
        <v>8146</v>
      </c>
      <c r="H2156" t="str">
        <f>"0113 4680930"</f>
        <v>0113 4680930</v>
      </c>
    </row>
    <row r="2157" spans="1:8">
      <c r="A2157" t="s">
        <v>8147</v>
      </c>
      <c r="B2157" t="s">
        <v>8148</v>
      </c>
      <c r="D2157" t="s">
        <v>326</v>
      </c>
      <c r="E2157" t="s">
        <v>280</v>
      </c>
      <c r="F2157" t="s">
        <v>8149</v>
      </c>
      <c r="G2157" t="s">
        <v>8150</v>
      </c>
      <c r="H2157" t="str">
        <f>"01924366896"</f>
        <v>01924366896</v>
      </c>
    </row>
    <row r="2158" spans="1:8">
      <c r="A2158" t="s">
        <v>8115</v>
      </c>
      <c r="B2158" t="s">
        <v>8151</v>
      </c>
      <c r="D2158" t="s">
        <v>1256</v>
      </c>
      <c r="F2158" t="s">
        <v>8152</v>
      </c>
      <c r="G2158" t="s">
        <v>8132</v>
      </c>
      <c r="H2158" t="str">
        <f>"01484 508680"</f>
        <v>01484 508680</v>
      </c>
    </row>
    <row r="2159" spans="1:8">
      <c r="A2159" t="s">
        <v>8115</v>
      </c>
      <c r="B2159" t="s">
        <v>1628</v>
      </c>
      <c r="D2159" t="s">
        <v>8153</v>
      </c>
      <c r="F2159" t="s">
        <v>8154</v>
      </c>
      <c r="G2159" t="s">
        <v>8155</v>
      </c>
      <c r="H2159" t="str">
        <f>"01943 889100"</f>
        <v>01943 889100</v>
      </c>
    </row>
    <row r="2160" spans="1:8">
      <c r="A2160" t="s">
        <v>8115</v>
      </c>
      <c r="B2160" t="s">
        <v>8156</v>
      </c>
      <c r="D2160" t="s">
        <v>615</v>
      </c>
      <c r="E2160" t="s">
        <v>616</v>
      </c>
      <c r="F2160" t="s">
        <v>8157</v>
      </c>
      <c r="G2160" t="s">
        <v>8158</v>
      </c>
      <c r="H2160" t="str">
        <f>"01904 917980"</f>
        <v>01904 917980</v>
      </c>
    </row>
    <row r="2161" spans="1:8">
      <c r="A2161" t="s">
        <v>8115</v>
      </c>
      <c r="B2161" t="s">
        <v>8159</v>
      </c>
      <c r="C2161" t="s">
        <v>8160</v>
      </c>
      <c r="D2161" t="s">
        <v>1853</v>
      </c>
      <c r="E2161" t="s">
        <v>227</v>
      </c>
      <c r="F2161" t="s">
        <v>8161</v>
      </c>
      <c r="G2161" t="s">
        <v>8162</v>
      </c>
      <c r="H2161" t="str">
        <f>"01226 337840"</f>
        <v>01226 337840</v>
      </c>
    </row>
    <row r="2162" spans="1:8">
      <c r="A2162" t="s">
        <v>8115</v>
      </c>
      <c r="B2162" t="s">
        <v>8163</v>
      </c>
      <c r="D2162" t="s">
        <v>7967</v>
      </c>
      <c r="F2162" t="s">
        <v>8164</v>
      </c>
      <c r="G2162" t="s">
        <v>8165</v>
      </c>
      <c r="H2162" t="str">
        <f>"01274 009140"</f>
        <v>01274 009140</v>
      </c>
    </row>
    <row r="2163" spans="1:8">
      <c r="A2163" t="s">
        <v>8115</v>
      </c>
      <c r="B2163" t="s">
        <v>8166</v>
      </c>
      <c r="D2163" t="s">
        <v>1345</v>
      </c>
      <c r="F2163" t="s">
        <v>8167</v>
      </c>
      <c r="G2163" t="s">
        <v>8168</v>
      </c>
      <c r="H2163" t="str">
        <f>"01423 228111"</f>
        <v>01423 228111</v>
      </c>
    </row>
    <row r="2164" spans="1:8">
      <c r="A2164" t="s">
        <v>8115</v>
      </c>
      <c r="B2164" t="s">
        <v>8169</v>
      </c>
      <c r="D2164" t="s">
        <v>326</v>
      </c>
      <c r="F2164" t="s">
        <v>8170</v>
      </c>
      <c r="G2164" t="s">
        <v>8171</v>
      </c>
      <c r="H2164" t="str">
        <f>"01924 942 230"</f>
        <v>01924 942 230</v>
      </c>
    </row>
    <row r="2165" spans="1:8">
      <c r="A2165" t="s">
        <v>8115</v>
      </c>
      <c r="B2165" t="s">
        <v>8172</v>
      </c>
      <c r="D2165" t="s">
        <v>226</v>
      </c>
      <c r="F2165" t="s">
        <v>8173</v>
      </c>
      <c r="G2165" t="s">
        <v>8174</v>
      </c>
      <c r="H2165" t="str">
        <f>"01302 246777"</f>
        <v>01302 246777</v>
      </c>
    </row>
    <row r="2166" spans="1:8">
      <c r="A2166" t="s">
        <v>8115</v>
      </c>
      <c r="B2166" t="s">
        <v>8175</v>
      </c>
      <c r="C2166" t="s">
        <v>8176</v>
      </c>
      <c r="D2166" t="s">
        <v>674</v>
      </c>
      <c r="F2166" t="s">
        <v>8177</v>
      </c>
      <c r="G2166" t="s">
        <v>8178</v>
      </c>
      <c r="H2166" t="str">
        <f>"01274 940150"</f>
        <v>01274 940150</v>
      </c>
    </row>
    <row r="2167" spans="1:8">
      <c r="A2167" t="s">
        <v>8115</v>
      </c>
      <c r="B2167" t="s">
        <v>8179</v>
      </c>
      <c r="D2167" t="s">
        <v>6521</v>
      </c>
      <c r="F2167" t="s">
        <v>8180</v>
      </c>
      <c r="G2167" t="s">
        <v>8181</v>
      </c>
      <c r="H2167" t="str">
        <f>"01757 601 900"</f>
        <v>01757 601 900</v>
      </c>
    </row>
    <row r="2168" spans="1:8">
      <c r="A2168" t="s">
        <v>8115</v>
      </c>
      <c r="B2168" t="s">
        <v>8182</v>
      </c>
      <c r="D2168" t="s">
        <v>2751</v>
      </c>
      <c r="F2168" t="s">
        <v>8183</v>
      </c>
      <c r="G2168" t="s">
        <v>8184</v>
      </c>
      <c r="H2168" t="str">
        <f>"01484 260000"</f>
        <v>01484 260000</v>
      </c>
    </row>
    <row r="2169" spans="1:8">
      <c r="A2169" t="s">
        <v>8115</v>
      </c>
      <c r="B2169" t="s">
        <v>897</v>
      </c>
      <c r="D2169" t="s">
        <v>2251</v>
      </c>
      <c r="F2169" t="s">
        <v>8185</v>
      </c>
      <c r="G2169" t="s">
        <v>8186</v>
      </c>
      <c r="H2169" t="str">
        <f>"01756 794611"</f>
        <v>01756 794611</v>
      </c>
    </row>
    <row r="2170" spans="1:8">
      <c r="A2170" t="s">
        <v>8115</v>
      </c>
      <c r="B2170" t="s">
        <v>8188</v>
      </c>
      <c r="D2170" t="s">
        <v>8187</v>
      </c>
      <c r="E2170" t="s">
        <v>1024</v>
      </c>
      <c r="F2170" t="s">
        <v>8189</v>
      </c>
      <c r="G2170" t="s">
        <v>8190</v>
      </c>
      <c r="H2170" t="str">
        <f>"01226 337516"</f>
        <v>01226 337516</v>
      </c>
    </row>
    <row r="2171" spans="1:8">
      <c r="A2171" t="s">
        <v>8115</v>
      </c>
      <c r="B2171" t="s">
        <v>8192</v>
      </c>
      <c r="C2171" t="s">
        <v>8191</v>
      </c>
      <c r="D2171" t="s">
        <v>1853</v>
      </c>
      <c r="F2171" t="s">
        <v>8193</v>
      </c>
      <c r="G2171" t="s">
        <v>8194</v>
      </c>
      <c r="H2171" t="str">
        <f>"01226 447850"</f>
        <v>01226 447850</v>
      </c>
    </row>
    <row r="2172" spans="1:8">
      <c r="A2172" t="s">
        <v>8115</v>
      </c>
      <c r="B2172" t="s">
        <v>8196</v>
      </c>
      <c r="C2172" t="s">
        <v>8195</v>
      </c>
      <c r="D2172" t="s">
        <v>256</v>
      </c>
      <c r="F2172" t="s">
        <v>8197</v>
      </c>
      <c r="G2172" t="s">
        <v>8198</v>
      </c>
      <c r="H2172" t="str">
        <f>"01642 070860"</f>
        <v>01642 070860</v>
      </c>
    </row>
    <row r="2173" spans="1:8">
      <c r="A2173" t="s">
        <v>8115</v>
      </c>
      <c r="B2173" t="s">
        <v>8199</v>
      </c>
      <c r="C2173" t="s">
        <v>8200</v>
      </c>
      <c r="D2173" t="s">
        <v>297</v>
      </c>
      <c r="F2173" t="s">
        <v>3386</v>
      </c>
      <c r="G2173" t="s">
        <v>8201</v>
      </c>
      <c r="H2173" t="str">
        <f>"0161 4705800"</f>
        <v>0161 4705800</v>
      </c>
    </row>
    <row r="2174" spans="1:8">
      <c r="A2174" t="s">
        <v>8202</v>
      </c>
      <c r="B2174" t="s">
        <v>8203</v>
      </c>
      <c r="D2174" t="s">
        <v>8204</v>
      </c>
      <c r="F2174" t="s">
        <v>8205</v>
      </c>
      <c r="G2174" t="s">
        <v>8206</v>
      </c>
      <c r="H2174" t="str">
        <f>"0345 459 0007"</f>
        <v>0345 459 0007</v>
      </c>
    </row>
    <row r="2175" spans="1:8">
      <c r="A2175" t="s">
        <v>8207</v>
      </c>
      <c r="B2175" t="s">
        <v>8208</v>
      </c>
      <c r="D2175" t="s">
        <v>8209</v>
      </c>
      <c r="E2175" t="s">
        <v>57</v>
      </c>
      <c r="F2175" t="s">
        <v>8210</v>
      </c>
      <c r="G2175" t="s">
        <v>8211</v>
      </c>
      <c r="H2175" t="str">
        <f>"020 7228 0017"</f>
        <v>020 7228 0017</v>
      </c>
    </row>
    <row r="2176" spans="1:8">
      <c r="A2176" t="s">
        <v>8207</v>
      </c>
      <c r="B2176" t="s">
        <v>8212</v>
      </c>
      <c r="D2176" t="s">
        <v>57</v>
      </c>
      <c r="F2176" t="s">
        <v>8213</v>
      </c>
      <c r="G2176" t="s">
        <v>8214</v>
      </c>
      <c r="H2176" t="str">
        <f>"020 7228 0017"</f>
        <v>020 7228 0017</v>
      </c>
    </row>
    <row r="2177" spans="1:8">
      <c r="A2177" t="s">
        <v>8215</v>
      </c>
      <c r="B2177" t="s">
        <v>8216</v>
      </c>
      <c r="D2177" t="s">
        <v>6983</v>
      </c>
      <c r="E2177" t="s">
        <v>1180</v>
      </c>
      <c r="F2177" t="s">
        <v>8217</v>
      </c>
      <c r="G2177" t="s">
        <v>8218</v>
      </c>
      <c r="H2177" t="str">
        <f>"0132 7300600"</f>
        <v>0132 7300600</v>
      </c>
    </row>
    <row r="2178" spans="1:8">
      <c r="A2178" t="s">
        <v>8219</v>
      </c>
      <c r="B2178" t="s">
        <v>8220</v>
      </c>
      <c r="D2178" t="s">
        <v>57</v>
      </c>
      <c r="F2178" t="s">
        <v>1452</v>
      </c>
      <c r="G2178" t="s">
        <v>8221</v>
      </c>
      <c r="H2178" t="str">
        <f t="shared" ref="H2178:H2185" si="1">"020 3540 4444"</f>
        <v>020 3540 4444</v>
      </c>
    </row>
    <row r="2179" spans="1:8">
      <c r="A2179" t="s">
        <v>8219</v>
      </c>
      <c r="B2179" t="s">
        <v>8222</v>
      </c>
      <c r="C2179" t="s">
        <v>8223</v>
      </c>
      <c r="D2179" t="s">
        <v>368</v>
      </c>
      <c r="E2179" t="s">
        <v>369</v>
      </c>
      <c r="F2179" t="s">
        <v>8224</v>
      </c>
      <c r="G2179" t="s">
        <v>8221</v>
      </c>
      <c r="H2179" t="str">
        <f t="shared" si="1"/>
        <v>020 3540 4444</v>
      </c>
    </row>
    <row r="2180" spans="1:8">
      <c r="A2180" t="s">
        <v>8219</v>
      </c>
      <c r="B2180" t="s">
        <v>8225</v>
      </c>
      <c r="C2180" t="s">
        <v>8226</v>
      </c>
      <c r="D2180" t="s">
        <v>297</v>
      </c>
      <c r="E2180" t="s">
        <v>132</v>
      </c>
      <c r="F2180" t="s">
        <v>8227</v>
      </c>
      <c r="G2180" t="s">
        <v>8221</v>
      </c>
      <c r="H2180" t="str">
        <f t="shared" si="1"/>
        <v>020 3540 4444</v>
      </c>
    </row>
    <row r="2181" spans="1:8">
      <c r="A2181" t="s">
        <v>8219</v>
      </c>
      <c r="B2181" t="s">
        <v>8228</v>
      </c>
      <c r="D2181" t="s">
        <v>5094</v>
      </c>
      <c r="F2181" t="s">
        <v>8229</v>
      </c>
      <c r="G2181" t="s">
        <v>8221</v>
      </c>
      <c r="H2181" t="str">
        <f t="shared" si="1"/>
        <v>020 3540 4444</v>
      </c>
    </row>
    <row r="2182" spans="1:8">
      <c r="A2182" t="s">
        <v>8219</v>
      </c>
      <c r="B2182" t="s">
        <v>8230</v>
      </c>
      <c r="D2182" t="s">
        <v>3190</v>
      </c>
      <c r="F2182" t="s">
        <v>8231</v>
      </c>
      <c r="G2182" t="s">
        <v>8221</v>
      </c>
      <c r="H2182" t="str">
        <f t="shared" si="1"/>
        <v>020 3540 4444</v>
      </c>
    </row>
    <row r="2183" spans="1:8">
      <c r="A2183" t="s">
        <v>8219</v>
      </c>
      <c r="B2183" t="s">
        <v>8232</v>
      </c>
      <c r="D2183" t="s">
        <v>6558</v>
      </c>
      <c r="F2183" t="s">
        <v>8233</v>
      </c>
      <c r="G2183" t="s">
        <v>8221</v>
      </c>
      <c r="H2183" t="str">
        <f t="shared" si="1"/>
        <v>020 3540 4444</v>
      </c>
    </row>
    <row r="2184" spans="1:8">
      <c r="A2184" t="s">
        <v>8219</v>
      </c>
      <c r="B2184" t="s">
        <v>2919</v>
      </c>
      <c r="D2184" t="s">
        <v>7103</v>
      </c>
      <c r="F2184" t="s">
        <v>7104</v>
      </c>
      <c r="G2184" t="s">
        <v>8221</v>
      </c>
      <c r="H2184" t="str">
        <f t="shared" si="1"/>
        <v>020 3540 4444</v>
      </c>
    </row>
    <row r="2185" spans="1:8">
      <c r="A2185" t="s">
        <v>8219</v>
      </c>
      <c r="B2185" t="s">
        <v>8234</v>
      </c>
      <c r="C2185" t="s">
        <v>8235</v>
      </c>
      <c r="D2185" t="s">
        <v>8236</v>
      </c>
      <c r="E2185" t="s">
        <v>57</v>
      </c>
      <c r="F2185" t="s">
        <v>3022</v>
      </c>
      <c r="G2185" t="s">
        <v>8221</v>
      </c>
      <c r="H2185" t="str">
        <f t="shared" si="1"/>
        <v>020 3540 4444</v>
      </c>
    </row>
    <row r="2186" spans="1:8">
      <c r="A2186" t="s">
        <v>8219</v>
      </c>
      <c r="B2186" t="s">
        <v>8237</v>
      </c>
      <c r="D2186" t="s">
        <v>88</v>
      </c>
      <c r="F2186" t="s">
        <v>90</v>
      </c>
      <c r="G2186" t="s">
        <v>8221</v>
      </c>
      <c r="H2186" t="str">
        <f>"01323 405250"</f>
        <v>01323 405250</v>
      </c>
    </row>
    <row r="2187" spans="1:8">
      <c r="A2187" t="s">
        <v>8219</v>
      </c>
      <c r="B2187" t="s">
        <v>8238</v>
      </c>
      <c r="D2187" t="s">
        <v>518</v>
      </c>
      <c r="F2187" t="s">
        <v>8239</v>
      </c>
      <c r="G2187" t="s">
        <v>8221</v>
      </c>
      <c r="H2187" t="str">
        <f>"020 3540 4444"</f>
        <v>020 3540 4444</v>
      </c>
    </row>
    <row r="2188" spans="1:8">
      <c r="A2188" t="s">
        <v>8219</v>
      </c>
      <c r="B2188" t="s">
        <v>8240</v>
      </c>
      <c r="C2188" t="s">
        <v>2877</v>
      </c>
      <c r="D2188" t="s">
        <v>2324</v>
      </c>
      <c r="E2188" t="s">
        <v>200</v>
      </c>
      <c r="F2188" t="s">
        <v>8241</v>
      </c>
      <c r="G2188" t="s">
        <v>8221</v>
      </c>
      <c r="H2188" t="str">
        <f>"020 3540 4444"</f>
        <v>020 3540 4444</v>
      </c>
    </row>
    <row r="2189" spans="1:8">
      <c r="A2189" t="s">
        <v>8219</v>
      </c>
      <c r="B2189" t="s">
        <v>8242</v>
      </c>
      <c r="D2189" t="s">
        <v>2540</v>
      </c>
      <c r="E2189" t="s">
        <v>171</v>
      </c>
      <c r="F2189" t="s">
        <v>8243</v>
      </c>
      <c r="G2189" t="s">
        <v>8221</v>
      </c>
      <c r="H2189" t="str">
        <f>"020 3540 4444"</f>
        <v>020 3540 4444</v>
      </c>
    </row>
    <row r="2190" spans="1:8">
      <c r="A2190" t="s">
        <v>8219</v>
      </c>
      <c r="B2190" t="s">
        <v>8244</v>
      </c>
      <c r="D2190" t="s">
        <v>590</v>
      </c>
      <c r="F2190" t="s">
        <v>8245</v>
      </c>
      <c r="G2190" t="s">
        <v>8221</v>
      </c>
      <c r="H2190" t="str">
        <f>"020 3540 4444"</f>
        <v>020 3540 4444</v>
      </c>
    </row>
    <row r="2191" spans="1:8">
      <c r="A2191" t="s">
        <v>8219</v>
      </c>
      <c r="B2191" t="s">
        <v>8246</v>
      </c>
      <c r="C2191" t="s">
        <v>8247</v>
      </c>
      <c r="D2191" t="s">
        <v>57</v>
      </c>
      <c r="F2191" t="s">
        <v>8248</v>
      </c>
      <c r="G2191" t="s">
        <v>8221</v>
      </c>
      <c r="H2191" t="str">
        <f>"020 8944 0082"</f>
        <v>020 8944 0082</v>
      </c>
    </row>
    <row r="2192" spans="1:8">
      <c r="A2192" t="s">
        <v>8219</v>
      </c>
      <c r="B2192" t="s">
        <v>8249</v>
      </c>
      <c r="D2192" t="s">
        <v>505</v>
      </c>
      <c r="E2192" t="s">
        <v>502</v>
      </c>
      <c r="F2192" t="s">
        <v>8250</v>
      </c>
      <c r="G2192" t="s">
        <v>8221</v>
      </c>
      <c r="H2192" t="str">
        <f>"020 3540 4444"</f>
        <v>020 3540 4444</v>
      </c>
    </row>
    <row r="2193" spans="1:8">
      <c r="A2193" t="s">
        <v>8219</v>
      </c>
      <c r="B2193" t="s">
        <v>8251</v>
      </c>
      <c r="C2193" t="s">
        <v>8252</v>
      </c>
      <c r="D2193" t="s">
        <v>5716</v>
      </c>
      <c r="F2193" t="s">
        <v>8253</v>
      </c>
      <c r="G2193" t="s">
        <v>8221</v>
      </c>
      <c r="H2193" t="str">
        <f>"020 3540 4444"</f>
        <v>020 3540 4444</v>
      </c>
    </row>
    <row r="2194" spans="1:8">
      <c r="A2194" t="s">
        <v>8219</v>
      </c>
      <c r="B2194" t="s">
        <v>8255</v>
      </c>
      <c r="C2194" t="s">
        <v>8256</v>
      </c>
      <c r="D2194" t="s">
        <v>8254</v>
      </c>
      <c r="E2194" t="s">
        <v>57</v>
      </c>
      <c r="F2194" t="s">
        <v>8257</v>
      </c>
      <c r="G2194" t="s">
        <v>8221</v>
      </c>
      <c r="H2194" t="str">
        <f>"02035404444"</f>
        <v>02035404444</v>
      </c>
    </row>
    <row r="2195" spans="1:8">
      <c r="A2195" t="s">
        <v>8219</v>
      </c>
      <c r="B2195" t="s">
        <v>8259</v>
      </c>
      <c r="D2195" t="s">
        <v>8258</v>
      </c>
      <c r="F2195" t="s">
        <v>8260</v>
      </c>
      <c r="G2195" t="s">
        <v>8221</v>
      </c>
      <c r="H2195" t="str">
        <f>"01483 670 400"</f>
        <v>01483 670 400</v>
      </c>
    </row>
    <row r="2196" spans="1:8">
      <c r="A2196" t="s">
        <v>8219</v>
      </c>
      <c r="B2196" t="s">
        <v>8261</v>
      </c>
      <c r="D2196" t="s">
        <v>141</v>
      </c>
      <c r="F2196" t="s">
        <v>465</v>
      </c>
      <c r="G2196" t="s">
        <v>8221</v>
      </c>
      <c r="H2196" t="str">
        <f>"01225 437050"</f>
        <v>01225 437050</v>
      </c>
    </row>
    <row r="2197" spans="1:8">
      <c r="A2197" t="s">
        <v>8262</v>
      </c>
      <c r="B2197" t="s">
        <v>8263</v>
      </c>
      <c r="C2197" t="s">
        <v>6318</v>
      </c>
      <c r="D2197" t="s">
        <v>226</v>
      </c>
      <c r="E2197" t="s">
        <v>227</v>
      </c>
      <c r="F2197" t="s">
        <v>8264</v>
      </c>
      <c r="G2197" t="s">
        <v>8265</v>
      </c>
      <c r="H2197" t="str">
        <f>"01302 819000"</f>
        <v>01302 819000</v>
      </c>
    </row>
    <row r="2198" spans="1:8">
      <c r="A2198" t="s">
        <v>8266</v>
      </c>
      <c r="B2198" t="s">
        <v>8267</v>
      </c>
      <c r="C2198" t="s">
        <v>8268</v>
      </c>
      <c r="D2198" t="s">
        <v>8269</v>
      </c>
      <c r="E2198" t="s">
        <v>464</v>
      </c>
      <c r="F2198" t="s">
        <v>8270</v>
      </c>
      <c r="G2198" t="s">
        <v>8271</v>
      </c>
      <c r="H2198" t="str">
        <f>"01761 414646"</f>
        <v>01761 414646</v>
      </c>
    </row>
    <row r="2199" spans="1:8">
      <c r="A2199" t="s">
        <v>8266</v>
      </c>
      <c r="B2199" t="s">
        <v>8273</v>
      </c>
      <c r="D2199" t="s">
        <v>8272</v>
      </c>
      <c r="F2199" t="s">
        <v>8274</v>
      </c>
      <c r="G2199" t="s">
        <v>8275</v>
      </c>
      <c r="H2199" t="str">
        <f>"01373462017"</f>
        <v>01373462017</v>
      </c>
    </row>
    <row r="2200" spans="1:8">
      <c r="A2200" t="s">
        <v>8276</v>
      </c>
      <c r="B2200" t="s">
        <v>8277</v>
      </c>
      <c r="D2200" t="s">
        <v>57</v>
      </c>
      <c r="F2200" t="s">
        <v>8278</v>
      </c>
      <c r="G2200" t="s">
        <v>8279</v>
      </c>
      <c r="H2200" t="str">
        <f>"0207 222 5381"</f>
        <v>0207 222 5381</v>
      </c>
    </row>
    <row r="2201" spans="1:8">
      <c r="A2201" t="s">
        <v>8280</v>
      </c>
      <c r="B2201" t="s">
        <v>8281</v>
      </c>
      <c r="C2201" t="s">
        <v>6033</v>
      </c>
      <c r="D2201" t="s">
        <v>14</v>
      </c>
      <c r="E2201" t="s">
        <v>16</v>
      </c>
      <c r="F2201" t="s">
        <v>8282</v>
      </c>
      <c r="G2201" t="s">
        <v>8283</v>
      </c>
      <c r="H2201" t="str">
        <f>"0121 444 0030"</f>
        <v>0121 444 0030</v>
      </c>
    </row>
    <row r="2202" spans="1:8">
      <c r="A2202" t="s">
        <v>8280</v>
      </c>
      <c r="B2202" t="s">
        <v>8284</v>
      </c>
      <c r="C2202" t="s">
        <v>8285</v>
      </c>
      <c r="D2202" t="s">
        <v>14</v>
      </c>
      <c r="E2202" t="s">
        <v>16</v>
      </c>
      <c r="F2202" t="s">
        <v>8286</v>
      </c>
      <c r="G2202" t="s">
        <v>8287</v>
      </c>
      <c r="H2202" t="str">
        <f>"0121 421 4888"</f>
        <v>0121 421 4888</v>
      </c>
    </row>
    <row r="2203" spans="1:8">
      <c r="A2203" t="s">
        <v>8280</v>
      </c>
      <c r="B2203" t="s">
        <v>8288</v>
      </c>
      <c r="D2203" t="s">
        <v>7244</v>
      </c>
      <c r="E2203" t="s">
        <v>16</v>
      </c>
      <c r="F2203" t="s">
        <v>8289</v>
      </c>
      <c r="G2203" t="s">
        <v>8283</v>
      </c>
      <c r="H2203" t="str">
        <f>"01384 375649"</f>
        <v>01384 375649</v>
      </c>
    </row>
    <row r="2204" spans="1:8">
      <c r="A2204" t="s">
        <v>8280</v>
      </c>
      <c r="B2204" t="s">
        <v>8290</v>
      </c>
      <c r="D2204" t="s">
        <v>1202</v>
      </c>
      <c r="E2204" t="s">
        <v>1180</v>
      </c>
      <c r="F2204" t="s">
        <v>8291</v>
      </c>
      <c r="G2204" t="s">
        <v>8287</v>
      </c>
      <c r="H2204" t="str">
        <f>"01933 276 147"</f>
        <v>01933 276 147</v>
      </c>
    </row>
    <row r="2205" spans="1:8">
      <c r="A2205" t="s">
        <v>8280</v>
      </c>
      <c r="B2205" t="s">
        <v>8292</v>
      </c>
      <c r="D2205" t="s">
        <v>2447</v>
      </c>
      <c r="E2205" t="s">
        <v>236</v>
      </c>
      <c r="F2205" t="s">
        <v>8293</v>
      </c>
      <c r="G2205" t="s">
        <v>8294</v>
      </c>
      <c r="H2205" t="str">
        <f>"01827 338220"</f>
        <v>01827 338220</v>
      </c>
    </row>
    <row r="2206" spans="1:8">
      <c r="A2206" t="s">
        <v>8280</v>
      </c>
      <c r="B2206" t="s">
        <v>8295</v>
      </c>
      <c r="D2206" t="s">
        <v>3959</v>
      </c>
      <c r="E2206" t="s">
        <v>236</v>
      </c>
      <c r="F2206" t="s">
        <v>7930</v>
      </c>
      <c r="G2206" t="s">
        <v>8296</v>
      </c>
      <c r="H2206" t="str">
        <f>"01543 253000"</f>
        <v>01543 253000</v>
      </c>
    </row>
    <row r="2207" spans="1:8">
      <c r="A2207" t="s">
        <v>8280</v>
      </c>
      <c r="B2207" t="s">
        <v>8297</v>
      </c>
      <c r="D2207" t="s">
        <v>4284</v>
      </c>
      <c r="F2207" t="s">
        <v>8298</v>
      </c>
      <c r="G2207" t="s">
        <v>8287</v>
      </c>
      <c r="H2207" t="str">
        <f>"01858 450900"</f>
        <v>01858 450900</v>
      </c>
    </row>
    <row r="2208" spans="1:8">
      <c r="A2208" t="s">
        <v>8299</v>
      </c>
      <c r="B2208" t="s">
        <v>8300</v>
      </c>
      <c r="D2208" t="s">
        <v>226</v>
      </c>
      <c r="E2208" t="s">
        <v>227</v>
      </c>
      <c r="F2208" t="s">
        <v>8173</v>
      </c>
      <c r="G2208" t="s">
        <v>8301</v>
      </c>
      <c r="H2208" t="str">
        <f>"01302 349463"</f>
        <v>01302 349463</v>
      </c>
    </row>
    <row r="2209" spans="1:8">
      <c r="A2209" t="s">
        <v>8299</v>
      </c>
      <c r="B2209" t="s">
        <v>8302</v>
      </c>
      <c r="C2209" t="s">
        <v>8303</v>
      </c>
      <c r="D2209" t="s">
        <v>8304</v>
      </c>
      <c r="E2209" t="s">
        <v>5348</v>
      </c>
      <c r="F2209" t="s">
        <v>8305</v>
      </c>
      <c r="G2209" t="s">
        <v>8301</v>
      </c>
      <c r="H2209" t="str">
        <f>"01302 834744"</f>
        <v>01302 834744</v>
      </c>
    </row>
    <row r="2210" spans="1:8">
      <c r="A2210" t="s">
        <v>8299</v>
      </c>
      <c r="B2210" t="s">
        <v>8306</v>
      </c>
      <c r="C2210" t="s">
        <v>8307</v>
      </c>
      <c r="D2210" t="s">
        <v>226</v>
      </c>
      <c r="F2210" t="s">
        <v>8308</v>
      </c>
      <c r="G2210" t="s">
        <v>8301</v>
      </c>
      <c r="H2210" t="str">
        <f>"01405 813108"</f>
        <v>01405 813108</v>
      </c>
    </row>
    <row r="2211" spans="1:8">
      <c r="A2211" t="s">
        <v>8299</v>
      </c>
      <c r="B2211" t="s">
        <v>8309</v>
      </c>
      <c r="D2211" t="s">
        <v>7476</v>
      </c>
      <c r="F2211" t="s">
        <v>8310</v>
      </c>
      <c r="G2211" t="s">
        <v>8301</v>
      </c>
      <c r="H2211" t="str">
        <f>"01405 720850"</f>
        <v>01405 720850</v>
      </c>
    </row>
    <row r="2212" spans="1:8">
      <c r="A2212" t="s">
        <v>8311</v>
      </c>
      <c r="B2212" t="s">
        <v>8312</v>
      </c>
      <c r="D2212" t="s">
        <v>3938</v>
      </c>
      <c r="E2212" t="s">
        <v>16</v>
      </c>
      <c r="F2212" t="s">
        <v>7256</v>
      </c>
      <c r="G2212" t="s">
        <v>8313</v>
      </c>
      <c r="H2212" t="str">
        <f>"02476227741"</f>
        <v>02476227741</v>
      </c>
    </row>
    <row r="2213" spans="1:8">
      <c r="A2213" t="s">
        <v>8311</v>
      </c>
      <c r="B2213" t="s">
        <v>8314</v>
      </c>
      <c r="D2213" t="s">
        <v>4638</v>
      </c>
      <c r="E2213" t="s">
        <v>1200</v>
      </c>
      <c r="F2213" t="s">
        <v>8315</v>
      </c>
      <c r="G2213" t="s">
        <v>8316</v>
      </c>
      <c r="H2213" t="str">
        <f>"01788 222850"</f>
        <v>01788 222850</v>
      </c>
    </row>
    <row r="2214" spans="1:8">
      <c r="A2214" t="s">
        <v>8317</v>
      </c>
      <c r="B2214" t="s">
        <v>8318</v>
      </c>
      <c r="D2214" t="s">
        <v>3938</v>
      </c>
      <c r="E2214" t="s">
        <v>16</v>
      </c>
      <c r="F2214" t="s">
        <v>8319</v>
      </c>
      <c r="G2214" t="s">
        <v>8320</v>
      </c>
      <c r="H2214" t="str">
        <f>"02476555400"</f>
        <v>02476555400</v>
      </c>
    </row>
    <row r="2215" spans="1:8">
      <c r="A2215" t="s">
        <v>8317</v>
      </c>
      <c r="B2215" t="s">
        <v>8321</v>
      </c>
      <c r="D2215" t="s">
        <v>1198</v>
      </c>
      <c r="E2215" t="s">
        <v>1200</v>
      </c>
      <c r="F2215" t="s">
        <v>8322</v>
      </c>
      <c r="G2215" t="s">
        <v>8320</v>
      </c>
      <c r="H2215" t="str">
        <f>"01926 311 427"</f>
        <v>01926 311 427</v>
      </c>
    </row>
    <row r="2216" spans="1:8">
      <c r="A2216" t="s">
        <v>8317</v>
      </c>
      <c r="B2216" t="s">
        <v>8323</v>
      </c>
      <c r="D2216" t="s">
        <v>7292</v>
      </c>
      <c r="F2216" t="s">
        <v>8324</v>
      </c>
      <c r="G2216" t="s">
        <v>8320</v>
      </c>
      <c r="H2216" t="str">
        <f>"01926852188"</f>
        <v>01926852188</v>
      </c>
    </row>
    <row r="2217" spans="1:8">
      <c r="A2217" t="s">
        <v>8325</v>
      </c>
      <c r="B2217" t="s">
        <v>8326</v>
      </c>
      <c r="D2217" t="s">
        <v>5818</v>
      </c>
      <c r="F2217" t="s">
        <v>8327</v>
      </c>
      <c r="G2217" t="s">
        <v>8328</v>
      </c>
      <c r="H2217" t="str">
        <f>"01525372140"</f>
        <v>01525372140</v>
      </c>
    </row>
    <row r="2218" spans="1:8">
      <c r="A2218" t="s">
        <v>8329</v>
      </c>
      <c r="B2218" t="s">
        <v>8330</v>
      </c>
      <c r="D2218" t="s">
        <v>7111</v>
      </c>
      <c r="E2218" t="s">
        <v>121</v>
      </c>
      <c r="F2218" t="s">
        <v>8331</v>
      </c>
      <c r="G2218" t="s">
        <v>8332</v>
      </c>
      <c r="H2218" t="str">
        <f>"02392 821251"</f>
        <v>02392 821251</v>
      </c>
    </row>
    <row r="2219" spans="1:8">
      <c r="A2219" t="s">
        <v>8329</v>
      </c>
      <c r="B2219" t="s">
        <v>8333</v>
      </c>
      <c r="C2219" t="s">
        <v>126</v>
      </c>
      <c r="D2219" t="s">
        <v>124</v>
      </c>
      <c r="E2219" t="s">
        <v>121</v>
      </c>
      <c r="F2219" t="s">
        <v>8334</v>
      </c>
      <c r="G2219" t="s">
        <v>8335</v>
      </c>
      <c r="H2219" t="str">
        <f>"01489 888240"</f>
        <v>01489 888240</v>
      </c>
    </row>
    <row r="2220" spans="1:8">
      <c r="A2220" t="s">
        <v>8329</v>
      </c>
      <c r="B2220" t="s">
        <v>8337</v>
      </c>
      <c r="C2220" t="s">
        <v>8338</v>
      </c>
      <c r="D2220" t="s">
        <v>8336</v>
      </c>
      <c r="F2220" t="s">
        <v>8339</v>
      </c>
      <c r="G2220" t="s">
        <v>8340</v>
      </c>
      <c r="H2220" t="str">
        <f>"02382 514300"</f>
        <v>02382 514300</v>
      </c>
    </row>
    <row r="2221" spans="1:8">
      <c r="A2221" t="s">
        <v>8341</v>
      </c>
      <c r="B2221" t="s">
        <v>8342</v>
      </c>
      <c r="D2221" t="s">
        <v>57</v>
      </c>
      <c r="F2221" t="s">
        <v>8343</v>
      </c>
      <c r="G2221" t="s">
        <v>8344</v>
      </c>
      <c r="H2221" t="str">
        <f>"020 3319 3700"</f>
        <v>020 3319 3700</v>
      </c>
    </row>
    <row r="2222" spans="1:8">
      <c r="A2222" t="s">
        <v>8345</v>
      </c>
      <c r="B2222" t="s">
        <v>8346</v>
      </c>
      <c r="D2222" t="s">
        <v>7883</v>
      </c>
      <c r="F2222" t="s">
        <v>8347</v>
      </c>
      <c r="G2222" t="s">
        <v>8348</v>
      </c>
      <c r="H2222" t="str">
        <f>"01327 350185"</f>
        <v>01327 350185</v>
      </c>
    </row>
    <row r="2223" spans="1:8">
      <c r="A2223" t="s">
        <v>8349</v>
      </c>
      <c r="B2223" t="s">
        <v>8350</v>
      </c>
      <c r="C2223" t="s">
        <v>8351</v>
      </c>
      <c r="D2223" t="s">
        <v>1024</v>
      </c>
      <c r="E2223" t="s">
        <v>5348</v>
      </c>
      <c r="F2223" t="s">
        <v>8352</v>
      </c>
      <c r="G2223" t="s">
        <v>8353</v>
      </c>
      <c r="H2223" t="str">
        <f>"0114 2666660"</f>
        <v>0114 2666660</v>
      </c>
    </row>
    <row r="2224" spans="1:8">
      <c r="A2224" t="s">
        <v>8354</v>
      </c>
      <c r="B2224" t="s">
        <v>8355</v>
      </c>
      <c r="D2224" t="s">
        <v>1103</v>
      </c>
      <c r="E2224" t="s">
        <v>106</v>
      </c>
      <c r="F2224" t="s">
        <v>1296</v>
      </c>
      <c r="G2224" t="s">
        <v>8356</v>
      </c>
      <c r="H2224" t="str">
        <f>"01743 280100"</f>
        <v>01743 280100</v>
      </c>
    </row>
    <row r="2225" spans="1:8">
      <c r="A2225" t="s">
        <v>8357</v>
      </c>
      <c r="B2225" t="s">
        <v>8358</v>
      </c>
      <c r="C2225" t="s">
        <v>8359</v>
      </c>
      <c r="D2225" t="s">
        <v>8360</v>
      </c>
      <c r="E2225" t="s">
        <v>736</v>
      </c>
      <c r="F2225" t="s">
        <v>8361</v>
      </c>
      <c r="G2225" t="s">
        <v>8362</v>
      </c>
      <c r="H2225" t="str">
        <f>"0330 0534204 "</f>
        <v xml:space="preserve">0330 0534204 </v>
      </c>
    </row>
    <row r="2226" spans="1:8">
      <c r="A2226" t="s">
        <v>8363</v>
      </c>
      <c r="B2226" t="s">
        <v>8364</v>
      </c>
      <c r="D2226" t="s">
        <v>2251</v>
      </c>
      <c r="E2226" t="s">
        <v>616</v>
      </c>
      <c r="F2226" t="s">
        <v>8365</v>
      </c>
      <c r="G2226" t="s">
        <v>8366</v>
      </c>
      <c r="H2226" t="str">
        <f>"01756 700200"</f>
        <v>01756 700200</v>
      </c>
    </row>
    <row r="2227" spans="1:8">
      <c r="A2227" t="s">
        <v>8363</v>
      </c>
      <c r="B2227" t="s">
        <v>8368</v>
      </c>
      <c r="C2227" t="s">
        <v>8367</v>
      </c>
      <c r="D2227" t="s">
        <v>3069</v>
      </c>
      <c r="E2227" t="s">
        <v>280</v>
      </c>
      <c r="F2227" t="s">
        <v>8369</v>
      </c>
      <c r="G2227" t="s">
        <v>8370</v>
      </c>
      <c r="H2227" t="str">
        <f>"01535 656000"</f>
        <v>01535 656000</v>
      </c>
    </row>
    <row r="2228" spans="1:8">
      <c r="A2228" t="s">
        <v>8363</v>
      </c>
      <c r="B2228" t="s">
        <v>8371</v>
      </c>
      <c r="C2228" t="s">
        <v>8372</v>
      </c>
      <c r="D2228" t="s">
        <v>7050</v>
      </c>
      <c r="E2228" t="s">
        <v>132</v>
      </c>
      <c r="F2228" t="s">
        <v>8373</v>
      </c>
      <c r="G2228" t="s">
        <v>8370</v>
      </c>
      <c r="H2228" t="str">
        <f>"01282 812340"</f>
        <v>01282 812340</v>
      </c>
    </row>
    <row r="2229" spans="1:8">
      <c r="A2229" t="s">
        <v>8363</v>
      </c>
      <c r="B2229" t="s">
        <v>8374</v>
      </c>
      <c r="D2229" t="s">
        <v>1341</v>
      </c>
      <c r="E2229" t="s">
        <v>280</v>
      </c>
      <c r="F2229" t="s">
        <v>8375</v>
      </c>
      <c r="G2229" t="s">
        <v>8370</v>
      </c>
      <c r="H2229" t="str">
        <f>"01943 609969"</f>
        <v>01943 609969</v>
      </c>
    </row>
    <row r="2230" spans="1:8">
      <c r="A2230" t="s">
        <v>8363</v>
      </c>
      <c r="B2230" t="s">
        <v>93</v>
      </c>
      <c r="D2230" t="s">
        <v>8376</v>
      </c>
      <c r="E2230" t="s">
        <v>616</v>
      </c>
      <c r="F2230" t="s">
        <v>8377</v>
      </c>
      <c r="G2230" t="s">
        <v>8370</v>
      </c>
      <c r="H2230" t="str">
        <f>"01792 811240"</f>
        <v>01792 811240</v>
      </c>
    </row>
    <row r="2231" spans="1:8">
      <c r="A2231" t="s">
        <v>8363</v>
      </c>
      <c r="B2231" t="s">
        <v>8378</v>
      </c>
      <c r="C2231" t="s">
        <v>8379</v>
      </c>
      <c r="D2231" t="s">
        <v>2131</v>
      </c>
      <c r="F2231" t="s">
        <v>8380</v>
      </c>
      <c r="G2231" t="s">
        <v>8370</v>
      </c>
      <c r="H2231" t="str">
        <f>"01609711158"</f>
        <v>01609711158</v>
      </c>
    </row>
    <row r="2232" spans="1:8">
      <c r="A2232" t="s">
        <v>8363</v>
      </c>
      <c r="B2232" t="s">
        <v>8381</v>
      </c>
      <c r="C2232" t="s">
        <v>8382</v>
      </c>
      <c r="D2232" t="s">
        <v>1345</v>
      </c>
      <c r="F2232" t="s">
        <v>8383</v>
      </c>
      <c r="G2232" t="s">
        <v>8370</v>
      </c>
      <c r="H2232" t="str">
        <f>"01423222950"</f>
        <v>01423222950</v>
      </c>
    </row>
    <row r="2233" spans="1:8">
      <c r="A2233" t="s">
        <v>8384</v>
      </c>
      <c r="B2233" t="s">
        <v>8385</v>
      </c>
      <c r="C2233" t="s">
        <v>8386</v>
      </c>
      <c r="D2233" t="s">
        <v>5314</v>
      </c>
      <c r="E2233" t="s">
        <v>236</v>
      </c>
      <c r="F2233" t="s">
        <v>8387</v>
      </c>
      <c r="G2233" t="s">
        <v>8388</v>
      </c>
      <c r="H2233" t="str">
        <f>"01782 819611"</f>
        <v>01782 819611</v>
      </c>
    </row>
    <row r="2234" spans="1:8">
      <c r="A2234" t="s">
        <v>8389</v>
      </c>
      <c r="B2234" t="s">
        <v>8390</v>
      </c>
      <c r="D2234" t="s">
        <v>2816</v>
      </c>
      <c r="E2234" t="s">
        <v>893</v>
      </c>
      <c r="F2234" t="s">
        <v>8391</v>
      </c>
      <c r="G2234" t="s">
        <v>8392</v>
      </c>
      <c r="H2234" t="str">
        <f>"01704 534101"</f>
        <v>01704 534101</v>
      </c>
    </row>
    <row r="2235" spans="1:8">
      <c r="A2235" t="s">
        <v>8393</v>
      </c>
      <c r="B2235" t="s">
        <v>8394</v>
      </c>
      <c r="C2235" t="s">
        <v>8395</v>
      </c>
      <c r="D2235" t="s">
        <v>8396</v>
      </c>
      <c r="E2235" t="s">
        <v>8397</v>
      </c>
      <c r="F2235" t="s">
        <v>8398</v>
      </c>
      <c r="G2235" t="s">
        <v>8399</v>
      </c>
      <c r="H2235" t="str">
        <f>"01792656511"</f>
        <v>01792656511</v>
      </c>
    </row>
    <row r="2236" spans="1:8">
      <c r="A2236" t="s">
        <v>8400</v>
      </c>
      <c r="B2236" t="s">
        <v>8401</v>
      </c>
      <c r="C2236" t="s">
        <v>8402</v>
      </c>
      <c r="D2236" t="s">
        <v>403</v>
      </c>
      <c r="E2236" t="s">
        <v>184</v>
      </c>
      <c r="F2236" t="s">
        <v>8403</v>
      </c>
      <c r="G2236" t="s">
        <v>8404</v>
      </c>
      <c r="H2236" t="str">
        <f>"01727858807"</f>
        <v>01727858807</v>
      </c>
    </row>
    <row r="2237" spans="1:8">
      <c r="A2237" t="s">
        <v>8405</v>
      </c>
      <c r="B2237" t="s">
        <v>8406</v>
      </c>
      <c r="D2237" t="s">
        <v>1411</v>
      </c>
      <c r="E2237" t="s">
        <v>1412</v>
      </c>
      <c r="F2237" t="s">
        <v>8407</v>
      </c>
      <c r="G2237" t="s">
        <v>8408</v>
      </c>
      <c r="H2237" t="str">
        <f>"01473 229200"</f>
        <v>01473 229200</v>
      </c>
    </row>
    <row r="2238" spans="1:8">
      <c r="A2238" t="s">
        <v>8405</v>
      </c>
      <c r="B2238" t="s">
        <v>8409</v>
      </c>
      <c r="D2238" t="s">
        <v>57</v>
      </c>
      <c r="F2238" t="s">
        <v>8410</v>
      </c>
      <c r="G2238" t="s">
        <v>8408</v>
      </c>
      <c r="H2238" t="str">
        <f>"02077229898"</f>
        <v>02077229898</v>
      </c>
    </row>
    <row r="2239" spans="1:8">
      <c r="A2239" t="s">
        <v>8405</v>
      </c>
      <c r="B2239" t="s">
        <v>8411</v>
      </c>
      <c r="D2239" t="s">
        <v>5269</v>
      </c>
      <c r="F2239" t="s">
        <v>8412</v>
      </c>
      <c r="G2239" t="s">
        <v>8408</v>
      </c>
      <c r="H2239" t="str">
        <f>"01206 766 333"</f>
        <v>01206 766 333</v>
      </c>
    </row>
    <row r="2240" spans="1:8">
      <c r="A2240" t="s">
        <v>8405</v>
      </c>
      <c r="B2240" t="s">
        <v>8413</v>
      </c>
      <c r="D2240" t="s">
        <v>1372</v>
      </c>
      <c r="F2240" t="s">
        <v>8414</v>
      </c>
      <c r="G2240" t="s">
        <v>8408</v>
      </c>
      <c r="H2240" t="str">
        <f>"01394 386336"</f>
        <v>01394 386336</v>
      </c>
    </row>
    <row r="2241" spans="1:8">
      <c r="A2241" t="s">
        <v>8415</v>
      </c>
      <c r="B2241" t="s">
        <v>8416</v>
      </c>
      <c r="C2241" t="s">
        <v>8417</v>
      </c>
      <c r="D2241" t="s">
        <v>8418</v>
      </c>
      <c r="F2241" t="s">
        <v>8419</v>
      </c>
      <c r="G2241" t="s">
        <v>8420</v>
      </c>
      <c r="H2241" t="str">
        <f>"02476 387821"</f>
        <v>02476 387821</v>
      </c>
    </row>
    <row r="2242" spans="1:8">
      <c r="A2242" t="s">
        <v>8421</v>
      </c>
      <c r="B2242" t="s">
        <v>8422</v>
      </c>
      <c r="D2242" t="s">
        <v>3312</v>
      </c>
      <c r="E2242" t="s">
        <v>132</v>
      </c>
      <c r="F2242" t="s">
        <v>8423</v>
      </c>
      <c r="G2242" t="s">
        <v>8424</v>
      </c>
      <c r="H2242" t="str">
        <f>"0161 881 3133"</f>
        <v>0161 881 3133</v>
      </c>
    </row>
    <row r="2243" spans="1:8">
      <c r="A2243" t="s">
        <v>8425</v>
      </c>
      <c r="B2243" t="s">
        <v>8426</v>
      </c>
      <c r="C2243" t="s">
        <v>8427</v>
      </c>
      <c r="D2243" t="s">
        <v>8428</v>
      </c>
      <c r="E2243" t="s">
        <v>2006</v>
      </c>
      <c r="F2243" t="s">
        <v>8429</v>
      </c>
      <c r="G2243" t="s">
        <v>8430</v>
      </c>
      <c r="H2243" t="str">
        <f>"02089046495"</f>
        <v>02089046495</v>
      </c>
    </row>
    <row r="2244" spans="1:8">
      <c r="A2244" t="s">
        <v>8431</v>
      </c>
      <c r="B2244" t="s">
        <v>8432</v>
      </c>
      <c r="D2244" t="s">
        <v>8433</v>
      </c>
      <c r="E2244" t="s">
        <v>171</v>
      </c>
      <c r="F2244" t="s">
        <v>8434</v>
      </c>
      <c r="G2244" t="s">
        <v>8435</v>
      </c>
      <c r="H2244" t="str">
        <f>"020 8301 0808"</f>
        <v>020 8301 0808</v>
      </c>
    </row>
    <row r="2245" spans="1:8">
      <c r="A2245" t="s">
        <v>8431</v>
      </c>
      <c r="B2245" t="s">
        <v>8437</v>
      </c>
      <c r="D2245" t="s">
        <v>8436</v>
      </c>
      <c r="F2245" t="s">
        <v>8438</v>
      </c>
      <c r="G2245" t="s">
        <v>8439</v>
      </c>
      <c r="H2245" t="str">
        <f>"01795 534533"</f>
        <v>01795 534533</v>
      </c>
    </row>
    <row r="2246" spans="1:8">
      <c r="A2246" t="s">
        <v>8431</v>
      </c>
      <c r="B2246" t="s">
        <v>8440</v>
      </c>
      <c r="D2246" t="s">
        <v>5298</v>
      </c>
      <c r="F2246" t="s">
        <v>8441</v>
      </c>
      <c r="G2246" t="s">
        <v>8442</v>
      </c>
      <c r="H2246" t="str">
        <f>"01227 742600"</f>
        <v>01227 742600</v>
      </c>
    </row>
    <row r="2247" spans="1:8">
      <c r="A2247" t="s">
        <v>8443</v>
      </c>
      <c r="B2247" t="s">
        <v>8444</v>
      </c>
      <c r="D2247" t="s">
        <v>24</v>
      </c>
      <c r="E2247" t="s">
        <v>11</v>
      </c>
      <c r="F2247" t="s">
        <v>8445</v>
      </c>
      <c r="G2247" t="s">
        <v>8446</v>
      </c>
      <c r="H2247" t="str">
        <f>"01386 442513"</f>
        <v>01386 442513</v>
      </c>
    </row>
    <row r="2248" spans="1:8">
      <c r="A2248" t="s">
        <v>8447</v>
      </c>
      <c r="B2248" t="s">
        <v>8448</v>
      </c>
      <c r="D2248" t="s">
        <v>518</v>
      </c>
      <c r="E2248" t="s">
        <v>520</v>
      </c>
      <c r="F2248" t="s">
        <v>8449</v>
      </c>
      <c r="G2248" t="s">
        <v>8450</v>
      </c>
      <c r="H2248" t="str">
        <f>"01273 204411"</f>
        <v>01273 204411</v>
      </c>
    </row>
    <row r="2249" spans="1:8">
      <c r="A2249" t="s">
        <v>8451</v>
      </c>
      <c r="B2249" t="s">
        <v>8452</v>
      </c>
      <c r="C2249" t="s">
        <v>8453</v>
      </c>
      <c r="D2249" t="s">
        <v>8454</v>
      </c>
      <c r="E2249" t="s">
        <v>132</v>
      </c>
      <c r="F2249" t="s">
        <v>8455</v>
      </c>
      <c r="G2249" t="s">
        <v>8456</v>
      </c>
      <c r="H2249" t="str">
        <f>"01457 835597"</f>
        <v>01457 835597</v>
      </c>
    </row>
    <row r="2250" spans="1:8">
      <c r="A2250" t="s">
        <v>8451</v>
      </c>
      <c r="B2250" t="s">
        <v>8457</v>
      </c>
      <c r="C2250" t="s">
        <v>1120</v>
      </c>
      <c r="D2250" t="s">
        <v>1117</v>
      </c>
      <c r="E2250" t="s">
        <v>663</v>
      </c>
      <c r="F2250" t="s">
        <v>8458</v>
      </c>
      <c r="G2250" t="s">
        <v>8456</v>
      </c>
      <c r="H2250" t="str">
        <f>"01614565012"</f>
        <v>01614565012</v>
      </c>
    </row>
    <row r="2251" spans="1:8">
      <c r="A2251" t="s">
        <v>8451</v>
      </c>
      <c r="B2251" t="s">
        <v>8460</v>
      </c>
      <c r="C2251" t="s">
        <v>8459</v>
      </c>
      <c r="D2251" t="s">
        <v>297</v>
      </c>
      <c r="E2251" t="s">
        <v>132</v>
      </c>
      <c r="F2251" t="s">
        <v>8461</v>
      </c>
      <c r="G2251" t="s">
        <v>8456</v>
      </c>
      <c r="H2251" t="str">
        <f>"01616822400"</f>
        <v>01616822400</v>
      </c>
    </row>
    <row r="2252" spans="1:8">
      <c r="A2252" t="s">
        <v>8462</v>
      </c>
      <c r="B2252" t="s">
        <v>8463</v>
      </c>
      <c r="D2252" t="s">
        <v>2178</v>
      </c>
      <c r="F2252" t="s">
        <v>8464</v>
      </c>
      <c r="G2252" t="s">
        <v>8465</v>
      </c>
      <c r="H2252" t="str">
        <f>"01912464000"</f>
        <v>01912464000</v>
      </c>
    </row>
    <row r="2253" spans="1:8">
      <c r="A2253" t="s">
        <v>8462</v>
      </c>
      <c r="B2253" t="s">
        <v>8466</v>
      </c>
      <c r="C2253" t="s">
        <v>3040</v>
      </c>
      <c r="D2253" t="s">
        <v>3040</v>
      </c>
      <c r="E2253" t="s">
        <v>340</v>
      </c>
      <c r="F2253" t="s">
        <v>8467</v>
      </c>
      <c r="G2253" t="s">
        <v>8465</v>
      </c>
      <c r="H2253" t="str">
        <f>"01912 571341"</f>
        <v>01912 571341</v>
      </c>
    </row>
    <row r="2254" spans="1:8">
      <c r="A2254" t="s">
        <v>8462</v>
      </c>
      <c r="B2254" t="s">
        <v>8468</v>
      </c>
      <c r="C2254" t="s">
        <v>8469</v>
      </c>
      <c r="E2254" t="s">
        <v>2178</v>
      </c>
      <c r="F2254" t="s">
        <v>8470</v>
      </c>
      <c r="G2254" t="s">
        <v>8471</v>
      </c>
      <c r="H2254" t="str">
        <f>"01912464000"</f>
        <v>01912464000</v>
      </c>
    </row>
    <row r="2255" spans="1:8">
      <c r="A2255" t="s">
        <v>8472</v>
      </c>
      <c r="B2255" t="s">
        <v>8473</v>
      </c>
      <c r="D2255" t="s">
        <v>8474</v>
      </c>
      <c r="E2255" t="s">
        <v>57</v>
      </c>
      <c r="F2255" t="s">
        <v>8475</v>
      </c>
      <c r="G2255" t="s">
        <v>8476</v>
      </c>
      <c r="H2255" t="str">
        <f>"0208 944 5290"</f>
        <v>0208 944 5290</v>
      </c>
    </row>
    <row r="2256" spans="1:8">
      <c r="A2256" t="s">
        <v>8472</v>
      </c>
      <c r="B2256" t="s">
        <v>8477</v>
      </c>
      <c r="D2256" t="s">
        <v>4199</v>
      </c>
      <c r="E2256" t="s">
        <v>200</v>
      </c>
      <c r="F2256" t="s">
        <v>8478</v>
      </c>
      <c r="G2256" t="s">
        <v>8479</v>
      </c>
      <c r="H2256" t="str">
        <f>"020 8035 0388"</f>
        <v>020 8035 0388</v>
      </c>
    </row>
    <row r="2257" spans="1:8">
      <c r="A2257" t="s">
        <v>8480</v>
      </c>
      <c r="B2257" t="s">
        <v>8481</v>
      </c>
      <c r="D2257" t="s">
        <v>152</v>
      </c>
      <c r="E2257" t="s">
        <v>153</v>
      </c>
      <c r="F2257" t="s">
        <v>4984</v>
      </c>
      <c r="G2257" t="s">
        <v>8482</v>
      </c>
      <c r="H2257" t="str">
        <f>"0118 9585611"</f>
        <v>0118 9585611</v>
      </c>
    </row>
    <row r="2258" spans="1:8">
      <c r="A2258" t="s">
        <v>8480</v>
      </c>
      <c r="B2258" t="s">
        <v>8483</v>
      </c>
      <c r="D2258" t="s">
        <v>8484</v>
      </c>
      <c r="E2258" t="s">
        <v>2006</v>
      </c>
      <c r="F2258" t="s">
        <v>8485</v>
      </c>
      <c r="G2258" t="s">
        <v>8486</v>
      </c>
      <c r="H2258" t="str">
        <f>"01784 457655"</f>
        <v>01784 457655</v>
      </c>
    </row>
    <row r="2259" spans="1:8">
      <c r="A2259" t="s">
        <v>8480</v>
      </c>
      <c r="B2259" t="s">
        <v>8487</v>
      </c>
      <c r="C2259" t="s">
        <v>8488</v>
      </c>
      <c r="D2259" t="s">
        <v>8489</v>
      </c>
      <c r="E2259" t="s">
        <v>121</v>
      </c>
      <c r="F2259" t="s">
        <v>8490</v>
      </c>
      <c r="G2259" t="s">
        <v>8486</v>
      </c>
      <c r="H2259" t="str">
        <f>"0118 9812992"</f>
        <v>0118 9812992</v>
      </c>
    </row>
    <row r="2260" spans="1:8">
      <c r="A2260" t="s">
        <v>8491</v>
      </c>
      <c r="B2260" t="s">
        <v>8492</v>
      </c>
      <c r="D2260" t="s">
        <v>8493</v>
      </c>
      <c r="E2260" t="s">
        <v>703</v>
      </c>
      <c r="F2260" t="s">
        <v>8494</v>
      </c>
      <c r="G2260" t="s">
        <v>8495</v>
      </c>
      <c r="H2260" t="str">
        <f>"01985217464"</f>
        <v>01985217464</v>
      </c>
    </row>
    <row r="2261" spans="1:8">
      <c r="A2261" t="s">
        <v>8491</v>
      </c>
      <c r="B2261" t="s">
        <v>8496</v>
      </c>
      <c r="D2261" t="s">
        <v>705</v>
      </c>
      <c r="E2261" t="s">
        <v>703</v>
      </c>
      <c r="F2261" t="s">
        <v>8497</v>
      </c>
      <c r="G2261" t="s">
        <v>8498</v>
      </c>
      <c r="H2261" t="str">
        <f>"01249 444300"</f>
        <v>01249 444300</v>
      </c>
    </row>
    <row r="2262" spans="1:8">
      <c r="A2262" t="s">
        <v>8491</v>
      </c>
      <c r="B2262" t="s">
        <v>8499</v>
      </c>
      <c r="D2262" t="s">
        <v>716</v>
      </c>
      <c r="E2262" t="s">
        <v>703</v>
      </c>
      <c r="F2262" t="s">
        <v>8500</v>
      </c>
      <c r="G2262" t="s">
        <v>8498</v>
      </c>
      <c r="H2262" t="str">
        <f>"01225 755621"</f>
        <v>01225 755621</v>
      </c>
    </row>
    <row r="2263" spans="1:8">
      <c r="A2263" t="s">
        <v>8491</v>
      </c>
      <c r="B2263" t="s">
        <v>8502</v>
      </c>
      <c r="D2263" t="s">
        <v>8501</v>
      </c>
      <c r="E2263" t="s">
        <v>703</v>
      </c>
      <c r="F2263" t="s">
        <v>8503</v>
      </c>
      <c r="G2263" t="s">
        <v>8498</v>
      </c>
      <c r="H2263" t="str">
        <f>"01666 822671"</f>
        <v>01666 822671</v>
      </c>
    </row>
    <row r="2264" spans="1:8">
      <c r="A2264" t="s">
        <v>8491</v>
      </c>
      <c r="B2264" t="s">
        <v>8504</v>
      </c>
      <c r="D2264" t="s">
        <v>383</v>
      </c>
      <c r="F2264" t="s">
        <v>8505</v>
      </c>
      <c r="G2264" t="s">
        <v>8506</v>
      </c>
      <c r="H2264" t="str">
        <f>"01793 522688"</f>
        <v>01793 522688</v>
      </c>
    </row>
    <row r="2265" spans="1:8">
      <c r="A2265" t="s">
        <v>8491</v>
      </c>
      <c r="B2265" t="s">
        <v>8507</v>
      </c>
      <c r="D2265" t="s">
        <v>8272</v>
      </c>
      <c r="E2265" t="s">
        <v>464</v>
      </c>
      <c r="F2265" t="s">
        <v>8508</v>
      </c>
      <c r="G2265" t="s">
        <v>8509</v>
      </c>
      <c r="H2265" t="str">
        <f>"01373 485485"</f>
        <v>01373 485485</v>
      </c>
    </row>
    <row r="2266" spans="1:8">
      <c r="A2266" t="s">
        <v>8510</v>
      </c>
      <c r="B2266" t="s">
        <v>8511</v>
      </c>
      <c r="D2266" t="s">
        <v>5265</v>
      </c>
      <c r="E2266" t="s">
        <v>736</v>
      </c>
      <c r="F2266" t="s">
        <v>8512</v>
      </c>
      <c r="G2266" t="s">
        <v>8513</v>
      </c>
      <c r="H2266" t="str">
        <f>"01376 500049"</f>
        <v>01376 500049</v>
      </c>
    </row>
    <row r="2267" spans="1:8">
      <c r="A2267" t="s">
        <v>8510</v>
      </c>
      <c r="B2267" t="s">
        <v>8514</v>
      </c>
      <c r="C2267" t="s">
        <v>8515</v>
      </c>
      <c r="D2267" t="s">
        <v>5736</v>
      </c>
      <c r="E2267" t="s">
        <v>736</v>
      </c>
      <c r="F2267" t="s">
        <v>8516</v>
      </c>
      <c r="G2267" t="s">
        <v>8517</v>
      </c>
      <c r="H2267" t="str">
        <f>"01376 550073"</f>
        <v>01376 550073</v>
      </c>
    </row>
    <row r="2268" spans="1:8">
      <c r="A2268" t="s">
        <v>8510</v>
      </c>
      <c r="B2268" t="s">
        <v>8518</v>
      </c>
      <c r="D2268" t="s">
        <v>5269</v>
      </c>
      <c r="E2268" t="s">
        <v>736</v>
      </c>
      <c r="F2268" t="s">
        <v>8519</v>
      </c>
      <c r="G2268" t="s">
        <v>8517</v>
      </c>
      <c r="H2268" t="str">
        <f>"01206 564546"</f>
        <v>01206 564546</v>
      </c>
    </row>
    <row r="2269" spans="1:8">
      <c r="A2269" t="s">
        <v>8510</v>
      </c>
      <c r="B2269" t="s">
        <v>8520</v>
      </c>
      <c r="D2269" t="s">
        <v>5261</v>
      </c>
      <c r="E2269" t="s">
        <v>736</v>
      </c>
      <c r="F2269" t="s">
        <v>8521</v>
      </c>
      <c r="G2269" t="s">
        <v>8517</v>
      </c>
      <c r="H2269" t="str">
        <f>"01621 843056"</f>
        <v>01621 843056</v>
      </c>
    </row>
    <row r="2270" spans="1:8">
      <c r="A2270" t="s">
        <v>8510</v>
      </c>
      <c r="B2270" t="s">
        <v>8522</v>
      </c>
      <c r="D2270" t="s">
        <v>3680</v>
      </c>
      <c r="E2270" t="s">
        <v>736</v>
      </c>
      <c r="F2270" t="s">
        <v>8523</v>
      </c>
      <c r="G2270" t="s">
        <v>8517</v>
      </c>
      <c r="H2270" t="str">
        <f>"01268 560176"</f>
        <v>01268 560176</v>
      </c>
    </row>
    <row r="2271" spans="1:8">
      <c r="A2271" t="s">
        <v>8510</v>
      </c>
      <c r="B2271" t="s">
        <v>8524</v>
      </c>
      <c r="D2271" t="s">
        <v>8525</v>
      </c>
      <c r="E2271" t="s">
        <v>736</v>
      </c>
      <c r="F2271" t="s">
        <v>8526</v>
      </c>
      <c r="G2271" t="s">
        <v>8517</v>
      </c>
      <c r="H2271" t="str">
        <f>"01621 784838"</f>
        <v>01621 784838</v>
      </c>
    </row>
    <row r="2272" spans="1:8">
      <c r="A2272" t="s">
        <v>8510</v>
      </c>
      <c r="B2272" t="s">
        <v>8528</v>
      </c>
      <c r="C2272" t="s">
        <v>8527</v>
      </c>
      <c r="D2272" t="s">
        <v>1971</v>
      </c>
      <c r="E2272" t="s">
        <v>736</v>
      </c>
      <c r="F2272" t="s">
        <v>8529</v>
      </c>
      <c r="G2272" t="s">
        <v>8517</v>
      </c>
      <c r="H2272" t="str">
        <f>"01702 558211"</f>
        <v>01702 558211</v>
      </c>
    </row>
    <row r="2273" spans="1:8">
      <c r="A2273" t="s">
        <v>8510</v>
      </c>
      <c r="B2273" t="s">
        <v>6034</v>
      </c>
      <c r="D2273" t="s">
        <v>8530</v>
      </c>
      <c r="E2273" t="s">
        <v>736</v>
      </c>
      <c r="F2273" t="s">
        <v>8531</v>
      </c>
      <c r="G2273" t="s">
        <v>8517</v>
      </c>
      <c r="H2273" t="str">
        <f>"01787 274210"</f>
        <v>01787 274210</v>
      </c>
    </row>
    <row r="2274" spans="1:8">
      <c r="A2274" t="s">
        <v>8510</v>
      </c>
      <c r="B2274" t="s">
        <v>8532</v>
      </c>
      <c r="D2274" t="s">
        <v>1443</v>
      </c>
      <c r="E2274" t="s">
        <v>736</v>
      </c>
      <c r="F2274" t="s">
        <v>8533</v>
      </c>
      <c r="G2274" t="s">
        <v>8517</v>
      </c>
      <c r="H2274" t="str">
        <f>"01245 250066"</f>
        <v>01245 250066</v>
      </c>
    </row>
    <row r="2275" spans="1:8">
      <c r="A2275" t="s">
        <v>8510</v>
      </c>
      <c r="B2275" t="s">
        <v>8534</v>
      </c>
      <c r="D2275" t="s">
        <v>5739</v>
      </c>
      <c r="F2275" t="s">
        <v>8535</v>
      </c>
      <c r="G2275" t="s">
        <v>8536</v>
      </c>
      <c r="H2275" t="str">
        <f>"01787 322500"</f>
        <v>01787 322500</v>
      </c>
    </row>
    <row r="2276" spans="1:8">
      <c r="A2276" t="s">
        <v>8510</v>
      </c>
      <c r="B2276" t="s">
        <v>8537</v>
      </c>
      <c r="D2276" t="s">
        <v>1442</v>
      </c>
      <c r="E2276" t="s">
        <v>1443</v>
      </c>
      <c r="F2276" t="s">
        <v>8538</v>
      </c>
      <c r="G2276" t="s">
        <v>8517</v>
      </c>
      <c r="H2276" t="str">
        <f>"01245 201910"</f>
        <v>01245 201910</v>
      </c>
    </row>
    <row r="2277" spans="1:8">
      <c r="A2277" t="s">
        <v>8510</v>
      </c>
      <c r="B2277" t="s">
        <v>8539</v>
      </c>
      <c r="D2277" t="s">
        <v>8540</v>
      </c>
      <c r="F2277" t="s">
        <v>8541</v>
      </c>
      <c r="G2277" t="s">
        <v>8542</v>
      </c>
      <c r="H2277" t="str">
        <f>"01255 440363"</f>
        <v>01255 440363</v>
      </c>
    </row>
    <row r="2278" spans="1:8">
      <c r="A2278" t="s">
        <v>8543</v>
      </c>
      <c r="B2278" t="s">
        <v>8544</v>
      </c>
      <c r="D2278" t="s">
        <v>2280</v>
      </c>
      <c r="F2278" t="s">
        <v>8545</v>
      </c>
      <c r="G2278" t="s">
        <v>8546</v>
      </c>
      <c r="H2278" t="str">
        <f>"01872 265100"</f>
        <v>01872 265100</v>
      </c>
    </row>
    <row r="2279" spans="1:8">
      <c r="A2279" t="s">
        <v>8543</v>
      </c>
      <c r="B2279" t="s">
        <v>8547</v>
      </c>
      <c r="D2279" t="s">
        <v>549</v>
      </c>
      <c r="E2279" t="s">
        <v>309</v>
      </c>
      <c r="F2279" t="s">
        <v>8548</v>
      </c>
      <c r="G2279" t="s">
        <v>8546</v>
      </c>
      <c r="H2279" t="str">
        <f>"01392 210700"</f>
        <v>01392 210700</v>
      </c>
    </row>
    <row r="2280" spans="1:8">
      <c r="A2280" t="s">
        <v>8543</v>
      </c>
      <c r="B2280" t="s">
        <v>8549</v>
      </c>
      <c r="D2280" t="s">
        <v>1553</v>
      </c>
      <c r="F2280" t="s">
        <v>8550</v>
      </c>
      <c r="G2280" t="s">
        <v>8546</v>
      </c>
      <c r="H2280" t="str">
        <f>"01202162630"</f>
        <v>01202162630</v>
      </c>
    </row>
    <row r="2281" spans="1:8">
      <c r="A2281" t="s">
        <v>8543</v>
      </c>
      <c r="B2281" t="s">
        <v>8551</v>
      </c>
      <c r="C2281" t="s">
        <v>8552</v>
      </c>
      <c r="E2281" t="s">
        <v>1135</v>
      </c>
      <c r="F2281" t="s">
        <v>8553</v>
      </c>
      <c r="G2281" t="s">
        <v>8546</v>
      </c>
      <c r="H2281" t="str">
        <f>"01823 214260 "</f>
        <v xml:space="preserve">01823 214260 </v>
      </c>
    </row>
    <row r="2282" spans="1:8">
      <c r="A2282" t="s">
        <v>8554</v>
      </c>
      <c r="B2282" t="s">
        <v>8555</v>
      </c>
      <c r="C2282" t="s">
        <v>8556</v>
      </c>
      <c r="D2282" t="s">
        <v>8557</v>
      </c>
      <c r="E2282" t="s">
        <v>8558</v>
      </c>
      <c r="F2282" t="s">
        <v>8559</v>
      </c>
      <c r="G2282" t="s">
        <v>8560</v>
      </c>
      <c r="H2282" t="str">
        <f>"01332836669"</f>
        <v>01332836669</v>
      </c>
    </row>
    <row r="2283" spans="1:8">
      <c r="A2283" t="s">
        <v>8561</v>
      </c>
      <c r="B2283" t="s">
        <v>8562</v>
      </c>
      <c r="D2283" t="s">
        <v>420</v>
      </c>
      <c r="E2283" t="s">
        <v>569</v>
      </c>
      <c r="F2283" t="s">
        <v>8563</v>
      </c>
      <c r="G2283" t="s">
        <v>8564</v>
      </c>
      <c r="H2283" t="str">
        <f>"01772 888 444"</f>
        <v>01772 888 444</v>
      </c>
    </row>
    <row r="2284" spans="1:8">
      <c r="A2284" t="s">
        <v>8561</v>
      </c>
      <c r="B2284" t="s">
        <v>8565</v>
      </c>
      <c r="C2284" t="s">
        <v>8566</v>
      </c>
      <c r="D2284" t="s">
        <v>1687</v>
      </c>
      <c r="F2284" t="s">
        <v>7057</v>
      </c>
      <c r="G2284" t="s">
        <v>8564</v>
      </c>
      <c r="H2284" t="str">
        <f>"01253 622305"</f>
        <v>01253 622305</v>
      </c>
    </row>
    <row r="2285" spans="1:8">
      <c r="A2285" t="s">
        <v>8561</v>
      </c>
      <c r="B2285" t="s">
        <v>8567</v>
      </c>
      <c r="D2285" t="s">
        <v>8568</v>
      </c>
      <c r="E2285" t="s">
        <v>569</v>
      </c>
      <c r="F2285" t="s">
        <v>8569</v>
      </c>
      <c r="G2285" t="s">
        <v>8564</v>
      </c>
      <c r="H2285" t="str">
        <f>"01254 667733"</f>
        <v>01254 667733</v>
      </c>
    </row>
    <row r="2286" spans="1:8">
      <c r="A2286" t="s">
        <v>8561</v>
      </c>
      <c r="B2286" t="s">
        <v>8570</v>
      </c>
      <c r="C2286" t="s">
        <v>6700</v>
      </c>
      <c r="D2286" t="s">
        <v>3698</v>
      </c>
      <c r="F2286" t="s">
        <v>6701</v>
      </c>
      <c r="G2286" t="s">
        <v>8564</v>
      </c>
      <c r="H2286" t="str">
        <f>"01539760560"</f>
        <v>01539760560</v>
      </c>
    </row>
    <row r="2287" spans="1:8">
      <c r="A2287" t="s">
        <v>8561</v>
      </c>
      <c r="B2287" t="s">
        <v>8571</v>
      </c>
      <c r="D2287" t="s">
        <v>2816</v>
      </c>
      <c r="F2287" t="s">
        <v>8572</v>
      </c>
      <c r="G2287" t="s">
        <v>8564</v>
      </c>
      <c r="H2287" t="str">
        <f>"01704 333088"</f>
        <v>01704 333088</v>
      </c>
    </row>
    <row r="2288" spans="1:8">
      <c r="A2288" t="s">
        <v>8561</v>
      </c>
      <c r="B2288" t="s">
        <v>8573</v>
      </c>
      <c r="D2288" t="s">
        <v>892</v>
      </c>
      <c r="F2288" t="s">
        <v>3371</v>
      </c>
      <c r="G2288" t="s">
        <v>8564</v>
      </c>
      <c r="H2288" t="str">
        <f>"0151 317 3355"</f>
        <v>0151 317 3355</v>
      </c>
    </row>
    <row r="2289" spans="1:8">
      <c r="A2289" t="s">
        <v>8561</v>
      </c>
      <c r="B2289" t="s">
        <v>8574</v>
      </c>
      <c r="D2289" t="s">
        <v>297</v>
      </c>
      <c r="F2289" t="s">
        <v>8575</v>
      </c>
      <c r="G2289" t="s">
        <v>8564</v>
      </c>
      <c r="H2289" t="str">
        <f>"0161 564 2700"</f>
        <v>0161 564 2700</v>
      </c>
    </row>
    <row r="2290" spans="1:8">
      <c r="A2290" t="s">
        <v>8576</v>
      </c>
      <c r="B2290" t="s">
        <v>8577</v>
      </c>
      <c r="D2290" t="s">
        <v>57</v>
      </c>
      <c r="E2290" t="s">
        <v>435</v>
      </c>
      <c r="F2290" t="s">
        <v>8578</v>
      </c>
      <c r="G2290" t="s">
        <v>8579</v>
      </c>
      <c r="H2290" t="str">
        <f>"0208 370 3877"</f>
        <v>0208 370 3877</v>
      </c>
    </row>
    <row r="2291" spans="1:8">
      <c r="A2291" t="s">
        <v>8580</v>
      </c>
      <c r="B2291" t="s">
        <v>8581</v>
      </c>
      <c r="C2291" t="s">
        <v>3869</v>
      </c>
      <c r="D2291" t="s">
        <v>57</v>
      </c>
      <c r="F2291" t="s">
        <v>8582</v>
      </c>
      <c r="G2291" t="s">
        <v>8583</v>
      </c>
      <c r="H2291" t="str">
        <f>"0208 3707750"</f>
        <v>0208 3707750</v>
      </c>
    </row>
    <row r="2292" spans="1:8">
      <c r="A2292" t="s">
        <v>8584</v>
      </c>
      <c r="B2292" t="s">
        <v>8585</v>
      </c>
      <c r="D2292" t="s">
        <v>741</v>
      </c>
      <c r="E2292" t="s">
        <v>742</v>
      </c>
      <c r="F2292" t="s">
        <v>8586</v>
      </c>
      <c r="G2292" t="s">
        <v>8587</v>
      </c>
      <c r="H2292" t="str">
        <f>"01603 724696"</f>
        <v>01603 724696</v>
      </c>
    </row>
    <row r="2293" spans="1:8">
      <c r="A2293" t="s">
        <v>8588</v>
      </c>
      <c r="B2293" t="s">
        <v>8589</v>
      </c>
      <c r="D2293" t="s">
        <v>8590</v>
      </c>
      <c r="E2293" t="s">
        <v>38</v>
      </c>
      <c r="F2293" t="s">
        <v>8591</v>
      </c>
      <c r="G2293" t="s">
        <v>8592</v>
      </c>
      <c r="H2293" t="str">
        <f>"01646 695311"</f>
        <v>01646 695311</v>
      </c>
    </row>
    <row r="2294" spans="1:8">
      <c r="A2294" t="s">
        <v>8593</v>
      </c>
      <c r="B2294" t="s">
        <v>8594</v>
      </c>
      <c r="D2294" t="s">
        <v>2399</v>
      </c>
      <c r="E2294" t="s">
        <v>200</v>
      </c>
      <c r="F2294" t="s">
        <v>8595</v>
      </c>
      <c r="G2294" t="s">
        <v>8596</v>
      </c>
      <c r="H2294" t="str">
        <f>"01932 219500"</f>
        <v>01932 219500</v>
      </c>
    </row>
    <row r="2295" spans="1:8">
      <c r="A2295" t="s">
        <v>8597</v>
      </c>
      <c r="B2295" t="s">
        <v>8598</v>
      </c>
      <c r="C2295" t="s">
        <v>8599</v>
      </c>
      <c r="D2295" t="s">
        <v>409</v>
      </c>
      <c r="E2295" t="s">
        <v>410</v>
      </c>
      <c r="F2295" t="s">
        <v>8600</v>
      </c>
      <c r="G2295" t="s">
        <v>8601</v>
      </c>
      <c r="H2295" t="str">
        <f>"0115 849 9000"</f>
        <v>0115 849 9000</v>
      </c>
    </row>
    <row r="2296" spans="1:8">
      <c r="A2296" t="s">
        <v>8602</v>
      </c>
      <c r="B2296" t="s">
        <v>8603</v>
      </c>
      <c r="D2296" t="s">
        <v>8604</v>
      </c>
      <c r="E2296" t="s">
        <v>2125</v>
      </c>
      <c r="F2296" t="s">
        <v>8605</v>
      </c>
      <c r="G2296" t="s">
        <v>8606</v>
      </c>
      <c r="H2296" t="str">
        <f>"02920 210846"</f>
        <v>02920 210846</v>
      </c>
    </row>
    <row r="2297" spans="1:8">
      <c r="A2297" t="s">
        <v>8607</v>
      </c>
      <c r="B2297" t="s">
        <v>8608</v>
      </c>
      <c r="D2297" t="s">
        <v>5685</v>
      </c>
      <c r="E2297" t="s">
        <v>893</v>
      </c>
      <c r="F2297" t="s">
        <v>8609</v>
      </c>
      <c r="G2297" t="s">
        <v>8610</v>
      </c>
      <c r="H2297" t="str">
        <f>"01744 23271"</f>
        <v>01744 23271</v>
      </c>
    </row>
    <row r="2298" spans="1:8">
      <c r="A2298" t="s">
        <v>8611</v>
      </c>
      <c r="B2298" t="s">
        <v>8612</v>
      </c>
      <c r="D2298" t="s">
        <v>813</v>
      </c>
      <c r="E2298" t="s">
        <v>616</v>
      </c>
      <c r="F2298" t="s">
        <v>8613</v>
      </c>
      <c r="G2298" t="s">
        <v>8614</v>
      </c>
      <c r="H2298" t="str">
        <f>"01423 509000"</f>
        <v>01423 509000</v>
      </c>
    </row>
    <row r="2299" spans="1:8">
      <c r="A2299" t="s">
        <v>8615</v>
      </c>
      <c r="B2299" t="s">
        <v>8616</v>
      </c>
      <c r="D2299" t="s">
        <v>8617</v>
      </c>
      <c r="E2299" t="s">
        <v>132</v>
      </c>
      <c r="F2299" t="s">
        <v>8618</v>
      </c>
      <c r="G2299" t="s">
        <v>8619</v>
      </c>
      <c r="H2299" t="str">
        <f>"01253781010"</f>
        <v>01253781010</v>
      </c>
    </row>
    <row r="2300" spans="1:8">
      <c r="A2300" t="s">
        <v>8620</v>
      </c>
      <c r="B2300" t="s">
        <v>8621</v>
      </c>
      <c r="D2300" t="s">
        <v>8622</v>
      </c>
      <c r="E2300" t="s">
        <v>4424</v>
      </c>
      <c r="F2300" t="s">
        <v>8623</v>
      </c>
      <c r="G2300" t="s">
        <v>8624</v>
      </c>
      <c r="H2300" t="str">
        <f>"01745 343661"</f>
        <v>01745 343661</v>
      </c>
    </row>
    <row r="2301" spans="1:8">
      <c r="A2301" t="s">
        <v>8620</v>
      </c>
      <c r="B2301" t="s">
        <v>8626</v>
      </c>
      <c r="D2301" t="s">
        <v>8625</v>
      </c>
      <c r="F2301" t="s">
        <v>8627</v>
      </c>
      <c r="G2301" t="s">
        <v>8628</v>
      </c>
      <c r="H2301" t="str">
        <f>"01492 535 640"</f>
        <v>01492 535 640</v>
      </c>
    </row>
    <row r="2302" spans="1:8">
      <c r="A2302" t="s">
        <v>8629</v>
      </c>
      <c r="B2302" t="s">
        <v>8630</v>
      </c>
      <c r="D2302" t="s">
        <v>8631</v>
      </c>
      <c r="E2302" t="s">
        <v>464</v>
      </c>
      <c r="F2302" t="s">
        <v>8632</v>
      </c>
      <c r="G2302" t="s">
        <v>8633</v>
      </c>
      <c r="H2302" t="str">
        <f>"01749 330330"</f>
        <v>01749 330330</v>
      </c>
    </row>
    <row r="2303" spans="1:8">
      <c r="A2303" t="s">
        <v>8629</v>
      </c>
      <c r="B2303" t="s">
        <v>8634</v>
      </c>
      <c r="D2303" t="s">
        <v>8635</v>
      </c>
      <c r="E2303" t="s">
        <v>464</v>
      </c>
      <c r="F2303" t="s">
        <v>8636</v>
      </c>
      <c r="G2303" t="s">
        <v>8637</v>
      </c>
      <c r="H2303" t="str">
        <f>"01963 350888"</f>
        <v>01963 350888</v>
      </c>
    </row>
    <row r="2304" spans="1:8">
      <c r="A2304" t="s">
        <v>8629</v>
      </c>
      <c r="B2304" t="s">
        <v>8638</v>
      </c>
      <c r="C2304" t="s">
        <v>8639</v>
      </c>
      <c r="D2304" t="s">
        <v>8640</v>
      </c>
      <c r="E2304" t="s">
        <v>464</v>
      </c>
      <c r="F2304" t="s">
        <v>8641</v>
      </c>
      <c r="G2304" t="s">
        <v>8642</v>
      </c>
      <c r="H2304" t="str">
        <f>"01934 745400"</f>
        <v>01934 745400</v>
      </c>
    </row>
    <row r="2305" spans="1:8">
      <c r="A2305" t="s">
        <v>8643</v>
      </c>
      <c r="B2305" t="s">
        <v>8644</v>
      </c>
      <c r="C2305" t="s">
        <v>8645</v>
      </c>
      <c r="D2305" t="s">
        <v>4478</v>
      </c>
      <c r="E2305" t="s">
        <v>1352</v>
      </c>
      <c r="F2305" t="s">
        <v>8646</v>
      </c>
      <c r="G2305" t="s">
        <v>8647</v>
      </c>
      <c r="H2305" t="str">
        <f>"01429264101"</f>
        <v>01429264101</v>
      </c>
    </row>
    <row r="2306" spans="1:8">
      <c r="A2306" t="s">
        <v>8643</v>
      </c>
      <c r="B2306" t="s">
        <v>8648</v>
      </c>
      <c r="D2306" t="s">
        <v>247</v>
      </c>
      <c r="E2306" t="s">
        <v>1352</v>
      </c>
      <c r="F2306" t="s">
        <v>8649</v>
      </c>
      <c r="G2306" t="s">
        <v>8647</v>
      </c>
      <c r="H2306" t="str">
        <f>"01642 673797"</f>
        <v>01642 673797</v>
      </c>
    </row>
    <row r="2307" spans="1:8">
      <c r="A2307" t="s">
        <v>8643</v>
      </c>
      <c r="B2307" t="s">
        <v>8650</v>
      </c>
      <c r="D2307" t="s">
        <v>3784</v>
      </c>
      <c r="E2307" t="s">
        <v>1487</v>
      </c>
      <c r="F2307" t="s">
        <v>8651</v>
      </c>
      <c r="G2307" t="s">
        <v>8647</v>
      </c>
      <c r="H2307" t="str">
        <f>"01833 638326"</f>
        <v>01833 638326</v>
      </c>
    </row>
    <row r="2308" spans="1:8">
      <c r="A2308" t="s">
        <v>8643</v>
      </c>
      <c r="B2308" t="s">
        <v>8653</v>
      </c>
      <c r="C2308" t="s">
        <v>8652</v>
      </c>
      <c r="D2308" t="s">
        <v>245</v>
      </c>
      <c r="E2308" t="s">
        <v>1352</v>
      </c>
      <c r="F2308" t="s">
        <v>8654</v>
      </c>
      <c r="G2308" t="s">
        <v>8647</v>
      </c>
      <c r="H2308" t="str">
        <f>"01740 646000"</f>
        <v>01740 646000</v>
      </c>
    </row>
    <row r="2309" spans="1:8">
      <c r="A2309" t="s">
        <v>8643</v>
      </c>
      <c r="B2309" t="s">
        <v>8655</v>
      </c>
      <c r="D2309" t="s">
        <v>1457</v>
      </c>
      <c r="F2309" t="s">
        <v>8656</v>
      </c>
      <c r="G2309" t="s">
        <v>8647</v>
      </c>
      <c r="H2309" t="str">
        <f>"01915652565"</f>
        <v>01915652565</v>
      </c>
    </row>
    <row r="2310" spans="1:8">
      <c r="A2310" t="s">
        <v>8657</v>
      </c>
      <c r="B2310" t="s">
        <v>8658</v>
      </c>
      <c r="C2310" t="s">
        <v>8659</v>
      </c>
      <c r="D2310" t="s">
        <v>1198</v>
      </c>
      <c r="E2310" t="s">
        <v>1200</v>
      </c>
      <c r="F2310" t="s">
        <v>8660</v>
      </c>
      <c r="G2310" t="s">
        <v>8661</v>
      </c>
      <c r="H2310" t="str">
        <f>"01926 356000"</f>
        <v>01926 356000</v>
      </c>
    </row>
    <row r="2311" spans="1:8">
      <c r="A2311" t="s">
        <v>8657</v>
      </c>
      <c r="B2311" t="s">
        <v>8662</v>
      </c>
      <c r="D2311" t="s">
        <v>8418</v>
      </c>
      <c r="E2311" t="s">
        <v>1200</v>
      </c>
      <c r="F2311" t="s">
        <v>8663</v>
      </c>
      <c r="G2311" t="s">
        <v>8664</v>
      </c>
      <c r="H2311" t="str">
        <f>"02477 710000"</f>
        <v>02477 710000</v>
      </c>
    </row>
    <row r="2312" spans="1:8">
      <c r="A2312" t="s">
        <v>8657</v>
      </c>
      <c r="B2312" t="s">
        <v>8665</v>
      </c>
      <c r="D2312" t="s">
        <v>3938</v>
      </c>
      <c r="E2312" t="s">
        <v>16</v>
      </c>
      <c r="F2312" t="s">
        <v>8666</v>
      </c>
      <c r="G2312" t="s">
        <v>8667</v>
      </c>
      <c r="H2312" t="str">
        <f>"02477 710200"</f>
        <v>02477 710200</v>
      </c>
    </row>
    <row r="2313" spans="1:8">
      <c r="A2313" t="s">
        <v>8657</v>
      </c>
      <c r="B2313" t="s">
        <v>8668</v>
      </c>
      <c r="D2313" t="s">
        <v>8669</v>
      </c>
      <c r="F2313" t="s">
        <v>8670</v>
      </c>
      <c r="G2313" t="s">
        <v>8667</v>
      </c>
      <c r="H2313" t="str">
        <f>"01789 338 900"</f>
        <v>01789 338 900</v>
      </c>
    </row>
    <row r="2314" spans="1:8">
      <c r="A2314" t="s">
        <v>8657</v>
      </c>
      <c r="B2314" t="s">
        <v>8672</v>
      </c>
      <c r="D2314" t="s">
        <v>8671</v>
      </c>
      <c r="E2314" t="s">
        <v>1200</v>
      </c>
      <c r="F2314" t="s">
        <v>8673</v>
      </c>
      <c r="G2314" t="s">
        <v>8667</v>
      </c>
      <c r="H2314" t="str">
        <f>"01926 359355"</f>
        <v>01926 359355</v>
      </c>
    </row>
    <row r="2315" spans="1:8">
      <c r="A2315" t="s">
        <v>8657</v>
      </c>
      <c r="B2315" t="s">
        <v>8674</v>
      </c>
      <c r="D2315" t="s">
        <v>4802</v>
      </c>
      <c r="F2315" t="s">
        <v>8675</v>
      </c>
      <c r="G2315" t="s">
        <v>8667</v>
      </c>
      <c r="H2315" t="str">
        <f>"01295584450"</f>
        <v>01295584450</v>
      </c>
    </row>
    <row r="2316" spans="1:8">
      <c r="A2316" t="s">
        <v>8676</v>
      </c>
      <c r="B2316" t="s">
        <v>8677</v>
      </c>
      <c r="C2316" t="s">
        <v>8678</v>
      </c>
      <c r="D2316" t="s">
        <v>1616</v>
      </c>
      <c r="F2316" t="s">
        <v>8679</v>
      </c>
      <c r="G2316" t="s">
        <v>8680</v>
      </c>
      <c r="H2316" t="str">
        <f>"01633 223344"</f>
        <v>01633 223344</v>
      </c>
    </row>
    <row r="2317" spans="1:8">
      <c r="A2317" t="s">
        <v>8676</v>
      </c>
      <c r="B2317" t="s">
        <v>8681</v>
      </c>
      <c r="C2317" t="s">
        <v>8682</v>
      </c>
      <c r="D2317" t="s">
        <v>8683</v>
      </c>
      <c r="E2317" t="s">
        <v>1054</v>
      </c>
      <c r="F2317" t="s">
        <v>8684</v>
      </c>
      <c r="G2317" t="s">
        <v>8680</v>
      </c>
      <c r="H2317" t="str">
        <f>"01633 223344"</f>
        <v>01633 223344</v>
      </c>
    </row>
    <row r="2318" spans="1:8">
      <c r="A2318" t="s">
        <v>8685</v>
      </c>
      <c r="B2318" t="s">
        <v>8686</v>
      </c>
      <c r="D2318" t="s">
        <v>1638</v>
      </c>
      <c r="E2318" t="s">
        <v>164</v>
      </c>
      <c r="F2318" t="s">
        <v>8687</v>
      </c>
      <c r="G2318" t="s">
        <v>8688</v>
      </c>
      <c r="H2318" t="str">
        <f>"01202673011"</f>
        <v>01202673011</v>
      </c>
    </row>
    <row r="2319" spans="1:8">
      <c r="A2319" t="s">
        <v>8685</v>
      </c>
      <c r="B2319" t="s">
        <v>8689</v>
      </c>
      <c r="D2319" t="s">
        <v>2237</v>
      </c>
      <c r="E2319" t="s">
        <v>8690</v>
      </c>
      <c r="F2319" t="s">
        <v>8691</v>
      </c>
      <c r="G2319" t="s">
        <v>8688</v>
      </c>
      <c r="H2319" t="str">
        <f>"01202694891"</f>
        <v>01202694891</v>
      </c>
    </row>
    <row r="2320" spans="1:8">
      <c r="A2320" t="s">
        <v>8685</v>
      </c>
      <c r="B2320" t="s">
        <v>8692</v>
      </c>
      <c r="D2320" t="s">
        <v>1553</v>
      </c>
      <c r="E2320" t="s">
        <v>164</v>
      </c>
      <c r="F2320" t="s">
        <v>8693</v>
      </c>
      <c r="G2320" t="s">
        <v>8688</v>
      </c>
      <c r="H2320" t="str">
        <f>"01202293226"</f>
        <v>01202293226</v>
      </c>
    </row>
    <row r="2321" spans="1:8">
      <c r="A2321" t="s">
        <v>8685</v>
      </c>
      <c r="B2321" t="s">
        <v>8694</v>
      </c>
      <c r="C2321" t="s">
        <v>8695</v>
      </c>
      <c r="D2321" t="s">
        <v>1566</v>
      </c>
      <c r="E2321" t="s">
        <v>164</v>
      </c>
      <c r="F2321" t="s">
        <v>8696</v>
      </c>
      <c r="G2321" t="s">
        <v>8697</v>
      </c>
      <c r="H2321" t="str">
        <f>"01202 355699"</f>
        <v>01202 355699</v>
      </c>
    </row>
    <row r="2322" spans="1:8">
      <c r="A2322" t="s">
        <v>8685</v>
      </c>
      <c r="B2322" t="s">
        <v>8698</v>
      </c>
      <c r="D2322" t="s">
        <v>1638</v>
      </c>
      <c r="E2322" t="s">
        <v>164</v>
      </c>
      <c r="F2322" t="s">
        <v>8699</v>
      </c>
      <c r="G2322" t="s">
        <v>8688</v>
      </c>
      <c r="H2322" t="str">
        <f>"01202338888"</f>
        <v>01202338888</v>
      </c>
    </row>
    <row r="2323" spans="1:8">
      <c r="A2323" t="s">
        <v>8700</v>
      </c>
      <c r="B2323" t="s">
        <v>8701</v>
      </c>
      <c r="C2323" t="s">
        <v>1462</v>
      </c>
      <c r="D2323" t="s">
        <v>2178</v>
      </c>
      <c r="E2323" t="s">
        <v>340</v>
      </c>
      <c r="F2323" t="s">
        <v>8702</v>
      </c>
      <c r="G2323" t="s">
        <v>8703</v>
      </c>
      <c r="H2323" t="str">
        <f>"01912131010"</f>
        <v>01912131010</v>
      </c>
    </row>
    <row r="2324" spans="1:8">
      <c r="A2324" t="s">
        <v>8704</v>
      </c>
      <c r="B2324" t="s">
        <v>8705</v>
      </c>
      <c r="D2324" t="s">
        <v>8706</v>
      </c>
      <c r="F2324" t="s">
        <v>8707</v>
      </c>
      <c r="G2324" t="s">
        <v>8708</v>
      </c>
      <c r="H2324" t="str">
        <f>"02085913366"</f>
        <v>02085913366</v>
      </c>
    </row>
    <row r="2325" spans="1:8">
      <c r="A2325" t="s">
        <v>8704</v>
      </c>
      <c r="B2325" t="s">
        <v>8710</v>
      </c>
      <c r="D2325" t="s">
        <v>8709</v>
      </c>
      <c r="F2325" t="s">
        <v>4720</v>
      </c>
      <c r="G2325" t="s">
        <v>8708</v>
      </c>
      <c r="H2325" t="str">
        <f>"02085913366"</f>
        <v>02085913366</v>
      </c>
    </row>
    <row r="2326" spans="1:8">
      <c r="A2326" t="s">
        <v>8704</v>
      </c>
      <c r="B2326" t="s">
        <v>8711</v>
      </c>
      <c r="D2326" t="s">
        <v>927</v>
      </c>
      <c r="F2326" t="s">
        <v>8712</v>
      </c>
      <c r="G2326" t="s">
        <v>8708</v>
      </c>
      <c r="H2326" t="str">
        <f>"01227762888"</f>
        <v>01227762888</v>
      </c>
    </row>
    <row r="2327" spans="1:8">
      <c r="A2327" t="s">
        <v>8704</v>
      </c>
      <c r="B2327" t="s">
        <v>8713</v>
      </c>
      <c r="D2327" t="s">
        <v>3680</v>
      </c>
      <c r="F2327" t="s">
        <v>8714</v>
      </c>
      <c r="G2327" t="s">
        <v>8708</v>
      </c>
      <c r="H2327" t="str">
        <f>"01268 733381"</f>
        <v>01268 733381</v>
      </c>
    </row>
    <row r="2328" spans="1:8">
      <c r="A2328" t="s">
        <v>8704</v>
      </c>
      <c r="B2328" t="s">
        <v>8715</v>
      </c>
      <c r="C2328" t="s">
        <v>1442</v>
      </c>
      <c r="D2328" t="s">
        <v>1443</v>
      </c>
      <c r="F2328" t="s">
        <v>8538</v>
      </c>
      <c r="G2328" t="s">
        <v>8708</v>
      </c>
      <c r="H2328" t="str">
        <f>"01245 322956"</f>
        <v>01245 322956</v>
      </c>
    </row>
    <row r="2329" spans="1:8">
      <c r="A2329" t="s">
        <v>8704</v>
      </c>
      <c r="B2329" t="s">
        <v>8717</v>
      </c>
      <c r="D2329" t="s">
        <v>8716</v>
      </c>
      <c r="F2329" t="s">
        <v>8718</v>
      </c>
      <c r="G2329" t="s">
        <v>8708</v>
      </c>
      <c r="H2329" t="str">
        <f>"01268 511999"</f>
        <v>01268 511999</v>
      </c>
    </row>
    <row r="2330" spans="1:8">
      <c r="A2330" t="s">
        <v>8719</v>
      </c>
      <c r="B2330" t="s">
        <v>8720</v>
      </c>
      <c r="C2330" t="s">
        <v>8721</v>
      </c>
      <c r="D2330" t="s">
        <v>8722</v>
      </c>
      <c r="E2330" t="s">
        <v>760</v>
      </c>
      <c r="F2330" t="s">
        <v>8723</v>
      </c>
      <c r="G2330" t="s">
        <v>8724</v>
      </c>
      <c r="H2330" t="str">
        <f>"01235775100"</f>
        <v>01235775100</v>
      </c>
    </row>
    <row r="2331" spans="1:8">
      <c r="A2331" t="s">
        <v>8719</v>
      </c>
      <c r="B2331" t="s">
        <v>8725</v>
      </c>
      <c r="C2331" t="s">
        <v>7405</v>
      </c>
      <c r="D2331" t="s">
        <v>383</v>
      </c>
      <c r="E2331" t="s">
        <v>703</v>
      </c>
      <c r="F2331" t="s">
        <v>8726</v>
      </c>
      <c r="G2331" t="s">
        <v>8727</v>
      </c>
      <c r="H2331" t="str">
        <f>"01793 427780"</f>
        <v>01793 427780</v>
      </c>
    </row>
    <row r="2332" spans="1:8">
      <c r="A2332" t="s">
        <v>8728</v>
      </c>
      <c r="B2332" t="s">
        <v>5414</v>
      </c>
      <c r="D2332" t="s">
        <v>57</v>
      </c>
      <c r="F2332" t="s">
        <v>5415</v>
      </c>
      <c r="G2332" t="s">
        <v>8729</v>
      </c>
      <c r="H2332" t="str">
        <f>"0203 058 3363 "</f>
        <v xml:space="preserve">0203 058 3363 </v>
      </c>
    </row>
    <row r="2333" spans="1:8">
      <c r="A2333" t="s">
        <v>8728</v>
      </c>
      <c r="B2333" t="s">
        <v>8730</v>
      </c>
      <c r="D2333" t="s">
        <v>3431</v>
      </c>
      <c r="F2333" t="s">
        <v>8731</v>
      </c>
      <c r="G2333" t="s">
        <v>8732</v>
      </c>
      <c r="H2333" t="str">
        <f>"02084602237"</f>
        <v>02084602237</v>
      </c>
    </row>
    <row r="2334" spans="1:8">
      <c r="A2334" t="s">
        <v>8733</v>
      </c>
      <c r="B2334" t="s">
        <v>8734</v>
      </c>
      <c r="C2334" t="s">
        <v>8735</v>
      </c>
      <c r="D2334" t="s">
        <v>2494</v>
      </c>
      <c r="E2334" t="s">
        <v>132</v>
      </c>
      <c r="F2334" t="s">
        <v>8736</v>
      </c>
      <c r="G2334" t="s">
        <v>8737</v>
      </c>
      <c r="H2334" t="str">
        <f>"0161 628 7018"</f>
        <v>0161 628 7018</v>
      </c>
    </row>
    <row r="2335" spans="1:8">
      <c r="A2335" t="s">
        <v>8733</v>
      </c>
      <c r="B2335" t="s">
        <v>8738</v>
      </c>
      <c r="D2335" t="s">
        <v>297</v>
      </c>
      <c r="F2335" t="s">
        <v>8739</v>
      </c>
      <c r="G2335" t="s">
        <v>8740</v>
      </c>
      <c r="H2335" t="str">
        <f>"0161 464 9547"</f>
        <v>0161 464 9547</v>
      </c>
    </row>
    <row r="2336" spans="1:8">
      <c r="A2336" t="s">
        <v>8741</v>
      </c>
      <c r="B2336" t="s">
        <v>8742</v>
      </c>
      <c r="D2336" t="s">
        <v>4822</v>
      </c>
      <c r="E2336" t="s">
        <v>164</v>
      </c>
      <c r="F2336" t="s">
        <v>8743</v>
      </c>
      <c r="G2336" t="s">
        <v>8744</v>
      </c>
      <c r="H2336" t="str">
        <f>"01747825432"</f>
        <v>01747825432</v>
      </c>
    </row>
    <row r="2337" spans="1:8">
      <c r="A2337" t="s">
        <v>8741</v>
      </c>
      <c r="B2337" t="s">
        <v>8745</v>
      </c>
      <c r="D2337" t="s">
        <v>8493</v>
      </c>
      <c r="E2337" t="s">
        <v>703</v>
      </c>
      <c r="F2337" t="s">
        <v>8746</v>
      </c>
      <c r="G2337" t="s">
        <v>8744</v>
      </c>
      <c r="H2337" t="str">
        <f>"01985 214661"</f>
        <v>01985 214661</v>
      </c>
    </row>
    <row r="2338" spans="1:8">
      <c r="A2338" t="s">
        <v>8741</v>
      </c>
      <c r="B2338" t="s">
        <v>8748</v>
      </c>
      <c r="D2338" t="s">
        <v>8747</v>
      </c>
      <c r="E2338" t="s">
        <v>164</v>
      </c>
      <c r="F2338" t="s">
        <v>8749</v>
      </c>
      <c r="G2338" t="s">
        <v>8744</v>
      </c>
      <c r="H2338" t="str">
        <f>"01747 854244"</f>
        <v>01747 854244</v>
      </c>
    </row>
    <row r="2339" spans="1:8">
      <c r="A2339" t="s">
        <v>8750</v>
      </c>
      <c r="B2339" t="s">
        <v>8751</v>
      </c>
      <c r="C2339" t="s">
        <v>8428</v>
      </c>
      <c r="D2339" t="s">
        <v>435</v>
      </c>
      <c r="E2339" t="s">
        <v>2006</v>
      </c>
      <c r="F2339" t="s">
        <v>8752</v>
      </c>
      <c r="G2339" t="s">
        <v>8753</v>
      </c>
      <c r="H2339" t="str">
        <f>"0208 903 7017"</f>
        <v>0208 903 7017</v>
      </c>
    </row>
    <row r="2340" spans="1:8">
      <c r="A2340" t="s">
        <v>8754</v>
      </c>
      <c r="B2340" t="s">
        <v>1908</v>
      </c>
      <c r="D2340" t="s">
        <v>3611</v>
      </c>
      <c r="E2340" t="s">
        <v>171</v>
      </c>
      <c r="F2340" t="s">
        <v>8755</v>
      </c>
      <c r="G2340" t="s">
        <v>8756</v>
      </c>
      <c r="H2340" t="str">
        <f>"01303 264581"</f>
        <v>01303 264581</v>
      </c>
    </row>
    <row r="2341" spans="1:8">
      <c r="A2341" t="s">
        <v>8754</v>
      </c>
      <c r="B2341" t="s">
        <v>8757</v>
      </c>
      <c r="D2341" t="s">
        <v>5295</v>
      </c>
      <c r="E2341" t="s">
        <v>171</v>
      </c>
      <c r="F2341" t="s">
        <v>8758</v>
      </c>
      <c r="G2341" t="s">
        <v>8756</v>
      </c>
      <c r="H2341" t="str">
        <f>"01233 228800"</f>
        <v>01233 228800</v>
      </c>
    </row>
    <row r="2342" spans="1:8">
      <c r="A2342" t="s">
        <v>8759</v>
      </c>
      <c r="B2342" t="s">
        <v>8760</v>
      </c>
      <c r="C2342" t="s">
        <v>8761</v>
      </c>
      <c r="D2342" t="s">
        <v>1553</v>
      </c>
      <c r="E2342" t="s">
        <v>1626</v>
      </c>
      <c r="F2342" t="s">
        <v>8762</v>
      </c>
      <c r="G2342" t="s">
        <v>8763</v>
      </c>
      <c r="H2342" t="str">
        <f>"01202 395 395 "</f>
        <v xml:space="preserve">01202 395 395 </v>
      </c>
    </row>
    <row r="2343" spans="1:8">
      <c r="A2343" t="s">
        <v>8764</v>
      </c>
      <c r="B2343" t="s">
        <v>8765</v>
      </c>
      <c r="C2343" t="s">
        <v>8766</v>
      </c>
      <c r="D2343" t="s">
        <v>420</v>
      </c>
      <c r="E2343" t="s">
        <v>132</v>
      </c>
      <c r="F2343" t="s">
        <v>8767</v>
      </c>
      <c r="G2343" t="s">
        <v>8768</v>
      </c>
      <c r="H2343" t="str">
        <f>"01772 910747"</f>
        <v>01772 910747</v>
      </c>
    </row>
    <row r="2344" spans="1:8">
      <c r="A2344" t="s">
        <v>8769</v>
      </c>
      <c r="B2344" t="s">
        <v>8770</v>
      </c>
      <c r="D2344" t="s">
        <v>1024</v>
      </c>
      <c r="F2344" t="s">
        <v>8771</v>
      </c>
      <c r="G2344" t="s">
        <v>8772</v>
      </c>
      <c r="H2344" t="str">
        <f>"01142766166"</f>
        <v>01142766166</v>
      </c>
    </row>
    <row r="2345" spans="1:8">
      <c r="A2345" t="s">
        <v>8769</v>
      </c>
      <c r="B2345" t="s">
        <v>8773</v>
      </c>
      <c r="C2345" t="s">
        <v>2522</v>
      </c>
      <c r="D2345" t="s">
        <v>1024</v>
      </c>
      <c r="F2345" t="s">
        <v>8774</v>
      </c>
      <c r="G2345" t="s">
        <v>8775</v>
      </c>
      <c r="H2345" t="str">
        <f>"01142484890"</f>
        <v>01142484890</v>
      </c>
    </row>
    <row r="2346" spans="1:8">
      <c r="A2346" t="s">
        <v>8769</v>
      </c>
      <c r="B2346" t="s">
        <v>8776</v>
      </c>
      <c r="C2346" t="s">
        <v>8777</v>
      </c>
      <c r="D2346" t="s">
        <v>213</v>
      </c>
      <c r="F2346" t="s">
        <v>8778</v>
      </c>
      <c r="G2346" t="s">
        <v>8775</v>
      </c>
      <c r="H2346" t="str">
        <f>"01709523983"</f>
        <v>01709523983</v>
      </c>
    </row>
    <row r="2347" spans="1:8">
      <c r="A2347" t="s">
        <v>8779</v>
      </c>
      <c r="B2347" t="s">
        <v>8780</v>
      </c>
      <c r="D2347" t="s">
        <v>8716</v>
      </c>
      <c r="E2347" t="s">
        <v>736</v>
      </c>
      <c r="F2347" t="s">
        <v>8781</v>
      </c>
      <c r="G2347" t="s">
        <v>8782</v>
      </c>
      <c r="H2347" t="str">
        <f>"01268 692255"</f>
        <v>01268 692255</v>
      </c>
    </row>
    <row r="2348" spans="1:8">
      <c r="A2348" t="s">
        <v>8783</v>
      </c>
      <c r="B2348" t="s">
        <v>8784</v>
      </c>
      <c r="C2348" t="s">
        <v>8785</v>
      </c>
      <c r="D2348" t="s">
        <v>3407</v>
      </c>
      <c r="E2348" t="s">
        <v>315</v>
      </c>
      <c r="F2348" t="s">
        <v>8786</v>
      </c>
      <c r="G2348" t="s">
        <v>8787</v>
      </c>
      <c r="H2348" t="str">
        <f>"0161 941 4000"</f>
        <v>0161 941 4000</v>
      </c>
    </row>
    <row r="2349" spans="1:8">
      <c r="A2349" t="s">
        <v>8788</v>
      </c>
      <c r="B2349" t="s">
        <v>8789</v>
      </c>
      <c r="C2349" t="s">
        <v>2456</v>
      </c>
      <c r="D2349" t="s">
        <v>8790</v>
      </c>
      <c r="E2349" t="s">
        <v>8791</v>
      </c>
      <c r="F2349" t="s">
        <v>8792</v>
      </c>
      <c r="G2349" t="s">
        <v>8793</v>
      </c>
      <c r="H2349" t="str">
        <f>"01443223888"</f>
        <v>01443223888</v>
      </c>
    </row>
    <row r="2350" spans="1:8">
      <c r="A2350" t="s">
        <v>8788</v>
      </c>
      <c r="B2350" t="s">
        <v>8794</v>
      </c>
      <c r="D2350" t="s">
        <v>3060</v>
      </c>
      <c r="E2350" t="s">
        <v>8791</v>
      </c>
      <c r="F2350" t="s">
        <v>8795</v>
      </c>
      <c r="G2350" t="s">
        <v>8796</v>
      </c>
      <c r="H2350" t="str">
        <f>"01443 434343"</f>
        <v>01443 434343</v>
      </c>
    </row>
    <row r="2351" spans="1:8">
      <c r="A2351" t="s">
        <v>8788</v>
      </c>
      <c r="B2351" t="s">
        <v>8797</v>
      </c>
      <c r="D2351" t="s">
        <v>2457</v>
      </c>
      <c r="E2351" t="s">
        <v>1363</v>
      </c>
      <c r="F2351" t="s">
        <v>8798</v>
      </c>
      <c r="G2351" t="s">
        <v>8799</v>
      </c>
      <c r="H2351" t="str">
        <f>"01443 404700"</f>
        <v>01443 404700</v>
      </c>
    </row>
    <row r="2352" spans="1:8">
      <c r="A2352" t="s">
        <v>8788</v>
      </c>
      <c r="B2352" t="s">
        <v>8800</v>
      </c>
      <c r="C2352" t="s">
        <v>8801</v>
      </c>
      <c r="D2352" t="s">
        <v>8802</v>
      </c>
      <c r="E2352" t="s">
        <v>8803</v>
      </c>
      <c r="F2352" t="s">
        <v>8804</v>
      </c>
      <c r="G2352" t="s">
        <v>8805</v>
      </c>
      <c r="H2352" t="str">
        <f>"01443 755189"</f>
        <v>01443 755189</v>
      </c>
    </row>
    <row r="2353" spans="1:8">
      <c r="A2353" t="s">
        <v>8788</v>
      </c>
      <c r="B2353" t="s">
        <v>8806</v>
      </c>
      <c r="D2353" t="s">
        <v>1042</v>
      </c>
      <c r="F2353" t="s">
        <v>1043</v>
      </c>
      <c r="G2353" t="s">
        <v>8807</v>
      </c>
      <c r="H2353" t="str">
        <f>"01656 665022"</f>
        <v>01656 665022</v>
      </c>
    </row>
    <row r="2354" spans="1:8">
      <c r="A2354" t="s">
        <v>8788</v>
      </c>
      <c r="B2354" t="s">
        <v>8808</v>
      </c>
      <c r="D2354" t="s">
        <v>8809</v>
      </c>
      <c r="E2354" t="s">
        <v>1363</v>
      </c>
      <c r="F2354" t="s">
        <v>8810</v>
      </c>
      <c r="G2354" t="s">
        <v>8811</v>
      </c>
      <c r="H2354" t="str">
        <f>"01443 779050"</f>
        <v>01443 779050</v>
      </c>
    </row>
    <row r="2355" spans="1:8">
      <c r="A2355" t="s">
        <v>8788</v>
      </c>
      <c r="B2355" t="s">
        <v>8812</v>
      </c>
      <c r="D2355" t="s">
        <v>8813</v>
      </c>
      <c r="F2355" t="s">
        <v>8814</v>
      </c>
      <c r="G2355" t="s">
        <v>8815</v>
      </c>
      <c r="H2355" t="str">
        <f>"02920 807820"</f>
        <v>02920 807820</v>
      </c>
    </row>
    <row r="2356" spans="1:8">
      <c r="A2356" t="s">
        <v>8788</v>
      </c>
      <c r="B2356" t="s">
        <v>8816</v>
      </c>
      <c r="D2356" t="s">
        <v>2457</v>
      </c>
      <c r="F2356" t="s">
        <v>8817</v>
      </c>
      <c r="G2356" t="s">
        <v>8818</v>
      </c>
      <c r="H2356" t="str">
        <f>"01443 711777"</f>
        <v>01443 711777</v>
      </c>
    </row>
    <row r="2357" spans="1:8">
      <c r="A2357" t="s">
        <v>8819</v>
      </c>
      <c r="B2357" t="s">
        <v>8820</v>
      </c>
      <c r="C2357" t="s">
        <v>8821</v>
      </c>
      <c r="D2357" t="s">
        <v>57</v>
      </c>
      <c r="F2357" t="s">
        <v>8822</v>
      </c>
      <c r="G2357" t="s">
        <v>8823</v>
      </c>
      <c r="H2357" t="str">
        <f>"02088075888"</f>
        <v>02088075888</v>
      </c>
    </row>
    <row r="2358" spans="1:8">
      <c r="A2358" t="s">
        <v>8824</v>
      </c>
      <c r="B2358" t="s">
        <v>8825</v>
      </c>
      <c r="D2358" t="s">
        <v>8826</v>
      </c>
      <c r="E2358" t="s">
        <v>1412</v>
      </c>
      <c r="F2358" t="s">
        <v>8827</v>
      </c>
      <c r="G2358" t="s">
        <v>8828</v>
      </c>
      <c r="H2358" t="str">
        <f>"01728832832"</f>
        <v>01728832832</v>
      </c>
    </row>
    <row r="2359" spans="1:8">
      <c r="A2359" t="s">
        <v>8824</v>
      </c>
      <c r="B2359" t="s">
        <v>8830</v>
      </c>
      <c r="D2359" t="s">
        <v>8829</v>
      </c>
      <c r="E2359" t="s">
        <v>1412</v>
      </c>
      <c r="F2359" t="s">
        <v>8831</v>
      </c>
      <c r="G2359" t="s">
        <v>8832</v>
      </c>
      <c r="H2359" t="str">
        <f>"01728 454595"</f>
        <v>01728 454595</v>
      </c>
    </row>
    <row r="2360" spans="1:8">
      <c r="A2360" t="s">
        <v>8824</v>
      </c>
      <c r="B2360" t="s">
        <v>8834</v>
      </c>
      <c r="C2360" t="s">
        <v>8833</v>
      </c>
      <c r="D2360" t="s">
        <v>1372</v>
      </c>
      <c r="E2360" t="s">
        <v>1412</v>
      </c>
      <c r="F2360" t="s">
        <v>8835</v>
      </c>
      <c r="G2360" t="s">
        <v>8836</v>
      </c>
      <c r="H2360" t="str">
        <f>"01728 724737"</f>
        <v>01728 724737</v>
      </c>
    </row>
    <row r="2361" spans="1:8">
      <c r="A2361" t="s">
        <v>8824</v>
      </c>
      <c r="B2361" t="s">
        <v>7994</v>
      </c>
      <c r="C2361" t="s">
        <v>7995</v>
      </c>
      <c r="D2361" t="s">
        <v>741</v>
      </c>
      <c r="F2361" t="s">
        <v>7996</v>
      </c>
      <c r="G2361" t="s">
        <v>8828</v>
      </c>
      <c r="H2361" t="str">
        <f>"07702261001"</f>
        <v>07702261001</v>
      </c>
    </row>
    <row r="2362" spans="1:8">
      <c r="A2362" t="s">
        <v>8824</v>
      </c>
      <c r="B2362" t="s">
        <v>8837</v>
      </c>
      <c r="D2362" t="s">
        <v>1411</v>
      </c>
      <c r="F2362" t="s">
        <v>8838</v>
      </c>
      <c r="G2362" t="s">
        <v>8839</v>
      </c>
      <c r="H2362" t="str">
        <f>"01473 942183"</f>
        <v>01473 942183</v>
      </c>
    </row>
    <row r="2363" spans="1:8">
      <c r="A2363" t="s">
        <v>8840</v>
      </c>
      <c r="B2363" t="s">
        <v>8841</v>
      </c>
      <c r="D2363" t="s">
        <v>6558</v>
      </c>
      <c r="E2363" t="s">
        <v>171</v>
      </c>
      <c r="F2363" t="s">
        <v>8842</v>
      </c>
      <c r="G2363" t="s">
        <v>8843</v>
      </c>
      <c r="H2363" t="str">
        <f>"020 8301 7777"</f>
        <v>020 8301 7777</v>
      </c>
    </row>
    <row r="2364" spans="1:8">
      <c r="A2364" t="s">
        <v>8840</v>
      </c>
      <c r="B2364" t="s">
        <v>8844</v>
      </c>
      <c r="D2364" t="s">
        <v>5040</v>
      </c>
      <c r="E2364" t="s">
        <v>171</v>
      </c>
      <c r="F2364" t="s">
        <v>8845</v>
      </c>
      <c r="G2364" t="s">
        <v>8846</v>
      </c>
      <c r="H2364" t="str">
        <f>"01322 295555"</f>
        <v>01322 295555</v>
      </c>
    </row>
    <row r="2365" spans="1:8">
      <c r="A2365" t="s">
        <v>8840</v>
      </c>
      <c r="B2365" t="s">
        <v>8847</v>
      </c>
      <c r="D2365" t="s">
        <v>4879</v>
      </c>
      <c r="E2365" t="s">
        <v>171</v>
      </c>
      <c r="F2365" t="s">
        <v>8848</v>
      </c>
      <c r="G2365" t="s">
        <v>8846</v>
      </c>
      <c r="H2365" t="str">
        <f>"01689 886000"</f>
        <v>01689 886000</v>
      </c>
    </row>
    <row r="2366" spans="1:8">
      <c r="A2366" t="s">
        <v>8849</v>
      </c>
      <c r="B2366" t="s">
        <v>8850</v>
      </c>
      <c r="C2366" t="s">
        <v>8851</v>
      </c>
      <c r="D2366" t="s">
        <v>1463</v>
      </c>
      <c r="E2366" t="s">
        <v>8852</v>
      </c>
      <c r="F2366" t="s">
        <v>8853</v>
      </c>
      <c r="G2366" t="s">
        <v>8854</v>
      </c>
      <c r="H2366" t="str">
        <f>"01661 871012"</f>
        <v>01661 871012</v>
      </c>
    </row>
    <row r="2367" spans="1:8">
      <c r="A2367" t="s">
        <v>8855</v>
      </c>
      <c r="B2367" t="s">
        <v>8856</v>
      </c>
      <c r="C2367" t="s">
        <v>8857</v>
      </c>
      <c r="D2367" t="s">
        <v>57</v>
      </c>
      <c r="F2367" t="s">
        <v>8858</v>
      </c>
      <c r="G2367" t="s">
        <v>8859</v>
      </c>
      <c r="H2367" t="str">
        <f>"020 7242 8966"</f>
        <v>020 7242 8966</v>
      </c>
    </row>
    <row r="2368" spans="1:8">
      <c r="A2368" t="s">
        <v>8860</v>
      </c>
      <c r="B2368" t="s">
        <v>8861</v>
      </c>
      <c r="D2368" t="s">
        <v>1054</v>
      </c>
      <c r="E2368" t="s">
        <v>1069</v>
      </c>
      <c r="F2368" t="s">
        <v>8862</v>
      </c>
      <c r="G2368" t="s">
        <v>8863</v>
      </c>
      <c r="H2368" t="str">
        <f>"01792 470037"</f>
        <v>01792 470037</v>
      </c>
    </row>
    <row r="2369" spans="1:8">
      <c r="A2369" t="s">
        <v>8860</v>
      </c>
      <c r="B2369" t="s">
        <v>8864</v>
      </c>
      <c r="C2369" t="s">
        <v>8865</v>
      </c>
      <c r="D2369" t="s">
        <v>297</v>
      </c>
      <c r="F2369" t="s">
        <v>8866</v>
      </c>
      <c r="G2369" t="s">
        <v>8867</v>
      </c>
      <c r="H2369" t="str">
        <f>"01613597309"</f>
        <v>01613597309</v>
      </c>
    </row>
    <row r="2370" spans="1:8">
      <c r="A2370" t="s">
        <v>8868</v>
      </c>
      <c r="B2370" t="s">
        <v>8869</v>
      </c>
      <c r="D2370" t="s">
        <v>3523</v>
      </c>
      <c r="E2370" t="s">
        <v>1487</v>
      </c>
      <c r="F2370" t="s">
        <v>8870</v>
      </c>
      <c r="G2370" t="s">
        <v>8871</v>
      </c>
      <c r="H2370" t="str">
        <f>"01325 469393"</f>
        <v>01325 469393</v>
      </c>
    </row>
    <row r="2371" spans="1:8">
      <c r="A2371" t="s">
        <v>8872</v>
      </c>
      <c r="B2371" t="s">
        <v>8873</v>
      </c>
      <c r="D2371" t="s">
        <v>57</v>
      </c>
      <c r="F2371" t="s">
        <v>8874</v>
      </c>
      <c r="G2371" t="s">
        <v>8875</v>
      </c>
      <c r="H2371" t="str">
        <f>"0207 870 4870"</f>
        <v>0207 870 4870</v>
      </c>
    </row>
    <row r="2372" spans="1:8">
      <c r="A2372" t="s">
        <v>8876</v>
      </c>
      <c r="B2372" t="s">
        <v>8877</v>
      </c>
      <c r="D2372" t="s">
        <v>4040</v>
      </c>
      <c r="E2372" t="s">
        <v>369</v>
      </c>
      <c r="F2372" t="s">
        <v>8878</v>
      </c>
      <c r="G2372" t="s">
        <v>8879</v>
      </c>
      <c r="H2372" t="str">
        <f>"01480 464515"</f>
        <v>01480 464515</v>
      </c>
    </row>
    <row r="2373" spans="1:8">
      <c r="A2373" t="s">
        <v>8876</v>
      </c>
      <c r="B2373" t="s">
        <v>989</v>
      </c>
      <c r="D2373" t="s">
        <v>5425</v>
      </c>
      <c r="E2373" t="s">
        <v>369</v>
      </c>
      <c r="F2373" t="s">
        <v>8880</v>
      </c>
      <c r="G2373" t="s">
        <v>8879</v>
      </c>
      <c r="H2373" t="str">
        <f>"01480456191"</f>
        <v>01480456191</v>
      </c>
    </row>
    <row r="2374" spans="1:8">
      <c r="A2374" t="s">
        <v>8881</v>
      </c>
      <c r="B2374" t="s">
        <v>8882</v>
      </c>
      <c r="C2374" t="s">
        <v>8883</v>
      </c>
      <c r="D2374" t="s">
        <v>1553</v>
      </c>
      <c r="E2374" t="s">
        <v>164</v>
      </c>
      <c r="F2374" t="s">
        <v>8884</v>
      </c>
      <c r="G2374" t="s">
        <v>8885</v>
      </c>
      <c r="H2374" t="str">
        <f>"01202 526343"</f>
        <v>01202 526343</v>
      </c>
    </row>
    <row r="2375" spans="1:8">
      <c r="A2375" t="s">
        <v>8881</v>
      </c>
      <c r="B2375" t="s">
        <v>8887</v>
      </c>
      <c r="C2375" t="s">
        <v>8886</v>
      </c>
      <c r="D2375" t="s">
        <v>2233</v>
      </c>
      <c r="E2375" t="s">
        <v>164</v>
      </c>
      <c r="F2375" t="s">
        <v>8888</v>
      </c>
      <c r="G2375" t="s">
        <v>8885</v>
      </c>
      <c r="H2375" t="str">
        <f>"01425 282150"</f>
        <v>01425 282150</v>
      </c>
    </row>
    <row r="2376" spans="1:8">
      <c r="A2376" t="s">
        <v>8881</v>
      </c>
      <c r="B2376" t="s">
        <v>8889</v>
      </c>
      <c r="C2376" t="s">
        <v>6204</v>
      </c>
      <c r="D2376" t="s">
        <v>1553</v>
      </c>
      <c r="E2376" t="s">
        <v>164</v>
      </c>
      <c r="F2376" t="s">
        <v>8890</v>
      </c>
      <c r="G2376" t="s">
        <v>8885</v>
      </c>
      <c r="H2376" t="str">
        <f>"01202 526343"</f>
        <v>01202 526343</v>
      </c>
    </row>
    <row r="2377" spans="1:8">
      <c r="A2377" t="s">
        <v>8891</v>
      </c>
      <c r="B2377" t="s">
        <v>8892</v>
      </c>
      <c r="D2377" t="s">
        <v>57</v>
      </c>
      <c r="F2377" t="s">
        <v>8893</v>
      </c>
      <c r="G2377" t="s">
        <v>8894</v>
      </c>
      <c r="H2377" t="str">
        <f>"020 3036 7133"</f>
        <v>020 3036 7133</v>
      </c>
    </row>
    <row r="2378" spans="1:8">
      <c r="A2378" t="s">
        <v>8895</v>
      </c>
      <c r="B2378" t="s">
        <v>8896</v>
      </c>
      <c r="C2378" t="s">
        <v>8897</v>
      </c>
      <c r="D2378" t="s">
        <v>383</v>
      </c>
      <c r="E2378" t="s">
        <v>703</v>
      </c>
      <c r="F2378" t="s">
        <v>8898</v>
      </c>
      <c r="G2378" t="s">
        <v>8899</v>
      </c>
      <c r="H2378" t="str">
        <f>"01793 610466"</f>
        <v>01793 610466</v>
      </c>
    </row>
    <row r="2379" spans="1:8">
      <c r="A2379" t="s">
        <v>8895</v>
      </c>
      <c r="B2379" t="s">
        <v>8900</v>
      </c>
      <c r="C2379" t="s">
        <v>8901</v>
      </c>
      <c r="D2379" t="s">
        <v>2937</v>
      </c>
      <c r="E2379" t="s">
        <v>760</v>
      </c>
      <c r="F2379" t="s">
        <v>8902</v>
      </c>
      <c r="G2379" t="s">
        <v>8903</v>
      </c>
      <c r="H2379" t="str">
        <f>"01993 705095"</f>
        <v>01993 705095</v>
      </c>
    </row>
    <row r="2380" spans="1:8">
      <c r="A2380" t="s">
        <v>8895</v>
      </c>
      <c r="B2380" t="s">
        <v>8904</v>
      </c>
      <c r="D2380" t="s">
        <v>4802</v>
      </c>
      <c r="E2380" t="s">
        <v>760</v>
      </c>
      <c r="F2380" t="s">
        <v>8905</v>
      </c>
      <c r="G2380" t="s">
        <v>8906</v>
      </c>
      <c r="H2380" t="str">
        <f>"01295 265566"</f>
        <v>01295 265566</v>
      </c>
    </row>
    <row r="2381" spans="1:8">
      <c r="A2381" t="s">
        <v>8895</v>
      </c>
      <c r="B2381" t="s">
        <v>8907</v>
      </c>
      <c r="D2381" t="s">
        <v>6434</v>
      </c>
      <c r="E2381" t="s">
        <v>760</v>
      </c>
      <c r="F2381" t="s">
        <v>8908</v>
      </c>
      <c r="G2381" t="s">
        <v>8909</v>
      </c>
      <c r="H2381" t="str">
        <f>"01865 311133"</f>
        <v>01865 311133</v>
      </c>
    </row>
    <row r="2382" spans="1:8">
      <c r="A2382" t="s">
        <v>8910</v>
      </c>
      <c r="B2382" t="s">
        <v>8911</v>
      </c>
      <c r="D2382" t="s">
        <v>2772</v>
      </c>
      <c r="E2382" t="s">
        <v>132</v>
      </c>
      <c r="F2382" t="s">
        <v>8912</v>
      </c>
      <c r="G2382" t="s">
        <v>8913</v>
      </c>
      <c r="H2382" t="str">
        <f>"01254 460600"</f>
        <v>01254 460600</v>
      </c>
    </row>
    <row r="2383" spans="1:8">
      <c r="A2383" t="s">
        <v>8910</v>
      </c>
      <c r="B2383" t="s">
        <v>8914</v>
      </c>
      <c r="C2383" t="s">
        <v>8915</v>
      </c>
      <c r="D2383" t="s">
        <v>8568</v>
      </c>
      <c r="E2383" t="s">
        <v>569</v>
      </c>
      <c r="F2383" t="s">
        <v>8912</v>
      </c>
      <c r="G2383" t="s">
        <v>8916</v>
      </c>
      <c r="H2383" t="str">
        <f>"01254 947403"</f>
        <v>01254 947403</v>
      </c>
    </row>
    <row r="2384" spans="1:8">
      <c r="A2384" t="s">
        <v>8910</v>
      </c>
      <c r="B2384" t="s">
        <v>8917</v>
      </c>
      <c r="D2384" t="s">
        <v>8918</v>
      </c>
      <c r="F2384" t="s">
        <v>8919</v>
      </c>
      <c r="G2384" t="s">
        <v>8920</v>
      </c>
      <c r="H2384" t="str">
        <f>"01613382614"</f>
        <v>01613382614</v>
      </c>
    </row>
    <row r="2385" spans="1:8">
      <c r="A2385" t="s">
        <v>8921</v>
      </c>
      <c r="B2385" t="s">
        <v>8922</v>
      </c>
      <c r="D2385" t="s">
        <v>1426</v>
      </c>
      <c r="E2385" t="s">
        <v>1427</v>
      </c>
      <c r="F2385" t="s">
        <v>8923</v>
      </c>
      <c r="G2385" t="s">
        <v>8924</v>
      </c>
      <c r="H2385" t="str">
        <f>"01482323123"</f>
        <v>01482323123</v>
      </c>
    </row>
    <row r="2386" spans="1:8">
      <c r="A2386" t="s">
        <v>8921</v>
      </c>
      <c r="B2386" t="s">
        <v>8926</v>
      </c>
      <c r="D2386" t="s">
        <v>8927</v>
      </c>
      <c r="E2386" t="s">
        <v>1427</v>
      </c>
      <c r="F2386" t="s">
        <v>8928</v>
      </c>
      <c r="G2386" t="s">
        <v>8929</v>
      </c>
      <c r="H2386" t="str">
        <f>"01482840201"</f>
        <v>01482840201</v>
      </c>
    </row>
    <row r="2387" spans="1:8">
      <c r="A2387" t="s">
        <v>8930</v>
      </c>
      <c r="B2387" t="s">
        <v>8931</v>
      </c>
      <c r="C2387" t="s">
        <v>8932</v>
      </c>
      <c r="D2387" t="s">
        <v>6721</v>
      </c>
      <c r="E2387" t="s">
        <v>236</v>
      </c>
      <c r="F2387" t="s">
        <v>8933</v>
      </c>
      <c r="G2387" t="s">
        <v>8934</v>
      </c>
      <c r="H2387" t="str">
        <f>"01782 719009"</f>
        <v>01782 719009</v>
      </c>
    </row>
    <row r="2388" spans="1:8">
      <c r="A2388" t="s">
        <v>8935</v>
      </c>
      <c r="B2388" t="s">
        <v>8936</v>
      </c>
      <c r="D2388" t="s">
        <v>1024</v>
      </c>
      <c r="E2388" t="s">
        <v>227</v>
      </c>
      <c r="F2388" t="s">
        <v>8937</v>
      </c>
      <c r="G2388" t="s">
        <v>8938</v>
      </c>
      <c r="H2388" t="str">
        <f>"0114 218 4000"</f>
        <v>0114 218 4000</v>
      </c>
    </row>
    <row r="2389" spans="1:8">
      <c r="A2389" t="s">
        <v>8935</v>
      </c>
      <c r="B2389" t="s">
        <v>8939</v>
      </c>
      <c r="D2389" t="s">
        <v>1024</v>
      </c>
      <c r="E2389" t="s">
        <v>227</v>
      </c>
      <c r="F2389" t="s">
        <v>8940</v>
      </c>
      <c r="G2389" t="s">
        <v>8938</v>
      </c>
      <c r="H2389" t="str">
        <f>"0114 218 4000 "</f>
        <v xml:space="preserve">0114 218 4000 </v>
      </c>
    </row>
    <row r="2390" spans="1:8">
      <c r="A2390" t="s">
        <v>8935</v>
      </c>
      <c r="B2390" t="s">
        <v>8941</v>
      </c>
      <c r="D2390" t="s">
        <v>7511</v>
      </c>
      <c r="E2390" t="s">
        <v>1033</v>
      </c>
      <c r="F2390" t="s">
        <v>8942</v>
      </c>
      <c r="G2390" t="s">
        <v>8938</v>
      </c>
      <c r="H2390" t="str">
        <f>"0114 218 4000 "</f>
        <v xml:space="preserve">0114 218 4000 </v>
      </c>
    </row>
    <row r="2391" spans="1:8">
      <c r="A2391" t="s">
        <v>8935</v>
      </c>
      <c r="B2391" t="s">
        <v>8943</v>
      </c>
      <c r="C2391" t="s">
        <v>8944</v>
      </c>
      <c r="D2391" t="s">
        <v>8945</v>
      </c>
      <c r="F2391" t="s">
        <v>8946</v>
      </c>
      <c r="G2391" t="s">
        <v>8938</v>
      </c>
      <c r="H2391" t="str">
        <f>"01629 812613"</f>
        <v>01629 812613</v>
      </c>
    </row>
    <row r="2392" spans="1:8">
      <c r="A2392" t="s">
        <v>8935</v>
      </c>
      <c r="B2392" t="s">
        <v>8947</v>
      </c>
      <c r="C2392" t="s">
        <v>2259</v>
      </c>
      <c r="D2392" t="s">
        <v>213</v>
      </c>
      <c r="E2392" t="s">
        <v>227</v>
      </c>
      <c r="F2392" t="s">
        <v>2260</v>
      </c>
      <c r="G2392" t="s">
        <v>8938</v>
      </c>
      <c r="H2392" t="str">
        <f>"01709 916961"</f>
        <v>01709 916961</v>
      </c>
    </row>
    <row r="2393" spans="1:8">
      <c r="A2393" t="s">
        <v>8948</v>
      </c>
      <c r="B2393" t="s">
        <v>8949</v>
      </c>
      <c r="C2393" t="s">
        <v>8950</v>
      </c>
      <c r="D2393" t="s">
        <v>6375</v>
      </c>
      <c r="E2393" t="s">
        <v>315</v>
      </c>
      <c r="F2393" t="s">
        <v>8951</v>
      </c>
      <c r="G2393" t="s">
        <v>8952</v>
      </c>
      <c r="H2393" t="str">
        <f>"03444124348"</f>
        <v>03444124348</v>
      </c>
    </row>
    <row r="2394" spans="1:8">
      <c r="A2394" t="s">
        <v>8948</v>
      </c>
      <c r="B2394" t="s">
        <v>8953</v>
      </c>
      <c r="D2394" t="s">
        <v>892</v>
      </c>
      <c r="E2394" t="s">
        <v>893</v>
      </c>
      <c r="F2394" t="s">
        <v>8954</v>
      </c>
      <c r="G2394" t="s">
        <v>8952</v>
      </c>
      <c r="H2394" t="str">
        <f>"03444124348"</f>
        <v>03444124348</v>
      </c>
    </row>
    <row r="2395" spans="1:8">
      <c r="A2395" t="s">
        <v>8948</v>
      </c>
      <c r="B2395" t="s">
        <v>8955</v>
      </c>
      <c r="D2395" t="s">
        <v>8956</v>
      </c>
      <c r="E2395" t="s">
        <v>892</v>
      </c>
      <c r="F2395" t="s">
        <v>8957</v>
      </c>
      <c r="G2395" t="s">
        <v>8952</v>
      </c>
      <c r="H2395" t="str">
        <f>"03444124348"</f>
        <v>03444124348</v>
      </c>
    </row>
    <row r="2396" spans="1:8">
      <c r="A2396" t="s">
        <v>8948</v>
      </c>
      <c r="B2396" t="s">
        <v>8958</v>
      </c>
      <c r="D2396" t="s">
        <v>5716</v>
      </c>
      <c r="E2396" t="s">
        <v>315</v>
      </c>
      <c r="F2396" t="s">
        <v>8959</v>
      </c>
      <c r="G2396" t="s">
        <v>8960</v>
      </c>
      <c r="H2396" t="str">
        <f>"03444 124348"</f>
        <v>03444 124348</v>
      </c>
    </row>
    <row r="2397" spans="1:8">
      <c r="A2397" t="s">
        <v>8948</v>
      </c>
      <c r="B2397" t="s">
        <v>8961</v>
      </c>
      <c r="C2397" t="s">
        <v>8962</v>
      </c>
      <c r="E2397" t="s">
        <v>1313</v>
      </c>
      <c r="F2397" t="s">
        <v>8963</v>
      </c>
      <c r="G2397" t="s">
        <v>8960</v>
      </c>
      <c r="H2397" t="str">
        <f>"03444124348"</f>
        <v>03444124348</v>
      </c>
    </row>
    <row r="2398" spans="1:8">
      <c r="A2398" t="s">
        <v>8948</v>
      </c>
      <c r="B2398" t="s">
        <v>8964</v>
      </c>
      <c r="D2398" t="s">
        <v>892</v>
      </c>
      <c r="F2398" t="s">
        <v>8965</v>
      </c>
      <c r="G2398" t="s">
        <v>8960</v>
      </c>
      <c r="H2398" t="str">
        <f>"03444124348"</f>
        <v>03444124348</v>
      </c>
    </row>
    <row r="2399" spans="1:8">
      <c r="A2399" t="s">
        <v>8966</v>
      </c>
      <c r="B2399" t="s">
        <v>8967</v>
      </c>
      <c r="D2399" t="s">
        <v>8968</v>
      </c>
      <c r="E2399" t="s">
        <v>2281</v>
      </c>
      <c r="F2399" t="s">
        <v>8969</v>
      </c>
      <c r="G2399" t="s">
        <v>8970</v>
      </c>
      <c r="H2399" t="str">
        <f>"01208 812068"</f>
        <v>01208 812068</v>
      </c>
    </row>
    <row r="2400" spans="1:8">
      <c r="A2400" t="s">
        <v>8971</v>
      </c>
      <c r="B2400" t="s">
        <v>8972</v>
      </c>
      <c r="D2400" t="s">
        <v>1679</v>
      </c>
      <c r="E2400" t="s">
        <v>57</v>
      </c>
      <c r="F2400" t="s">
        <v>8973</v>
      </c>
      <c r="G2400" t="s">
        <v>8974</v>
      </c>
      <c r="H2400" t="str">
        <f>"02084712112"</f>
        <v>02084712112</v>
      </c>
    </row>
    <row r="2401" spans="1:8">
      <c r="A2401" t="s">
        <v>8975</v>
      </c>
      <c r="B2401" t="s">
        <v>8976</v>
      </c>
      <c r="C2401" t="s">
        <v>8977</v>
      </c>
      <c r="D2401" t="s">
        <v>315</v>
      </c>
      <c r="F2401" t="s">
        <v>8978</v>
      </c>
      <c r="G2401" t="s">
        <v>8979</v>
      </c>
      <c r="H2401" t="str">
        <f>"0161 283 6573"</f>
        <v>0161 283 6573</v>
      </c>
    </row>
    <row r="2402" spans="1:8">
      <c r="A2402" t="s">
        <v>8975</v>
      </c>
      <c r="B2402" t="s">
        <v>8980</v>
      </c>
      <c r="D2402" t="s">
        <v>6589</v>
      </c>
      <c r="E2402" t="s">
        <v>1117</v>
      </c>
      <c r="F2402" t="s">
        <v>8981</v>
      </c>
      <c r="G2402" t="s">
        <v>8979</v>
      </c>
      <c r="H2402" t="str">
        <f>"0161 440 0131"</f>
        <v>0161 440 0131</v>
      </c>
    </row>
    <row r="2403" spans="1:8">
      <c r="A2403" t="s">
        <v>8975</v>
      </c>
      <c r="B2403" t="s">
        <v>8982</v>
      </c>
      <c r="D2403" t="s">
        <v>493</v>
      </c>
      <c r="E2403" t="s">
        <v>1117</v>
      </c>
      <c r="F2403" t="s">
        <v>8983</v>
      </c>
      <c r="G2403" t="s">
        <v>8979</v>
      </c>
      <c r="H2403" t="str">
        <f>"01614284909"</f>
        <v>01614284909</v>
      </c>
    </row>
    <row r="2404" spans="1:8">
      <c r="A2404" t="s">
        <v>8975</v>
      </c>
      <c r="B2404" t="s">
        <v>8984</v>
      </c>
      <c r="C2404" t="s">
        <v>1120</v>
      </c>
      <c r="D2404" t="s">
        <v>1117</v>
      </c>
      <c r="F2404" t="s">
        <v>8985</v>
      </c>
      <c r="G2404" t="s">
        <v>8979</v>
      </c>
      <c r="H2404" t="str">
        <f>"01615037275"</f>
        <v>01615037275</v>
      </c>
    </row>
    <row r="2405" spans="1:8">
      <c r="A2405" t="s">
        <v>8986</v>
      </c>
      <c r="B2405" t="s">
        <v>8987</v>
      </c>
      <c r="D2405" t="s">
        <v>741</v>
      </c>
      <c r="E2405" t="s">
        <v>742</v>
      </c>
      <c r="F2405" t="s">
        <v>8988</v>
      </c>
      <c r="G2405" t="s">
        <v>8989</v>
      </c>
      <c r="H2405" t="str">
        <f>"01603281104"</f>
        <v>01603281104</v>
      </c>
    </row>
    <row r="2406" spans="1:8">
      <c r="A2406" t="s">
        <v>8986</v>
      </c>
      <c r="B2406" t="s">
        <v>8990</v>
      </c>
      <c r="D2406" t="s">
        <v>741</v>
      </c>
      <c r="F2406" t="s">
        <v>8991</v>
      </c>
      <c r="G2406" t="s">
        <v>8992</v>
      </c>
      <c r="H2406" t="str">
        <f>"01603-610911"</f>
        <v>01603-610911</v>
      </c>
    </row>
    <row r="2407" spans="1:8">
      <c r="A2407" t="s">
        <v>8993</v>
      </c>
      <c r="B2407" t="s">
        <v>6277</v>
      </c>
      <c r="D2407" t="s">
        <v>8994</v>
      </c>
      <c r="E2407" t="s">
        <v>1180</v>
      </c>
      <c r="F2407" t="s">
        <v>8995</v>
      </c>
      <c r="G2407" t="s">
        <v>8996</v>
      </c>
      <c r="H2407" t="str">
        <f>"01933 588022"</f>
        <v>01933 588022</v>
      </c>
    </row>
    <row r="2408" spans="1:8">
      <c r="A2408" t="s">
        <v>8993</v>
      </c>
      <c r="B2408" t="s">
        <v>8997</v>
      </c>
      <c r="D2408" t="s">
        <v>396</v>
      </c>
      <c r="F2408" t="s">
        <v>8998</v>
      </c>
      <c r="G2408" t="s">
        <v>8999</v>
      </c>
      <c r="H2408" t="str">
        <f>"01582 297119"</f>
        <v>01582 297119</v>
      </c>
    </row>
    <row r="2409" spans="1:8">
      <c r="A2409" t="s">
        <v>8993</v>
      </c>
      <c r="B2409" t="s">
        <v>9000</v>
      </c>
      <c r="C2409" t="s">
        <v>9001</v>
      </c>
      <c r="D2409" t="s">
        <v>3194</v>
      </c>
      <c r="F2409" t="s">
        <v>9002</v>
      </c>
      <c r="G2409" t="s">
        <v>8996</v>
      </c>
      <c r="H2409" t="str">
        <f>"01216 476 437"</f>
        <v>01216 476 437</v>
      </c>
    </row>
    <row r="2410" spans="1:8">
      <c r="A2410" t="s">
        <v>9003</v>
      </c>
      <c r="B2410" t="s">
        <v>9004</v>
      </c>
      <c r="D2410" t="s">
        <v>326</v>
      </c>
      <c r="F2410" t="s">
        <v>9005</v>
      </c>
      <c r="G2410" t="s">
        <v>9006</v>
      </c>
      <c r="H2410" t="str">
        <f>"01924291122"</f>
        <v>01924291122</v>
      </c>
    </row>
    <row r="2411" spans="1:8">
      <c r="A2411" t="s">
        <v>9007</v>
      </c>
      <c r="B2411" t="s">
        <v>9008</v>
      </c>
      <c r="D2411" t="s">
        <v>420</v>
      </c>
      <c r="F2411" t="s">
        <v>9009</v>
      </c>
      <c r="G2411" t="s">
        <v>9010</v>
      </c>
      <c r="H2411" t="str">
        <f>"03301119728"</f>
        <v>03301119728</v>
      </c>
    </row>
    <row r="2412" spans="1:8">
      <c r="A2412" t="s">
        <v>9011</v>
      </c>
      <c r="B2412" t="s">
        <v>9012</v>
      </c>
      <c r="D2412" t="s">
        <v>3431</v>
      </c>
      <c r="E2412" t="s">
        <v>171</v>
      </c>
      <c r="F2412" t="s">
        <v>9013</v>
      </c>
      <c r="G2412" t="s">
        <v>9014</v>
      </c>
      <c r="H2412" t="str">
        <f>"02082907413"</f>
        <v>02082907413</v>
      </c>
    </row>
    <row r="2413" spans="1:8">
      <c r="A2413" t="s">
        <v>9011</v>
      </c>
      <c r="B2413" t="s">
        <v>9016</v>
      </c>
      <c r="D2413" t="s">
        <v>9015</v>
      </c>
      <c r="E2413" t="s">
        <v>171</v>
      </c>
      <c r="F2413" t="s">
        <v>9017</v>
      </c>
      <c r="G2413" t="s">
        <v>9018</v>
      </c>
      <c r="H2413" t="str">
        <f>"020 8658 3922"</f>
        <v>020 8658 3922</v>
      </c>
    </row>
    <row r="2414" spans="1:8">
      <c r="A2414" t="s">
        <v>9011</v>
      </c>
      <c r="B2414" t="s">
        <v>9019</v>
      </c>
      <c r="D2414" t="s">
        <v>57</v>
      </c>
      <c r="F2414" t="s">
        <v>9020</v>
      </c>
      <c r="G2414" t="s">
        <v>9021</v>
      </c>
      <c r="H2414" t="str">
        <f>"0208 297 5800"</f>
        <v>0208 297 5800</v>
      </c>
    </row>
    <row r="2415" spans="1:8">
      <c r="A2415" t="s">
        <v>9011</v>
      </c>
      <c r="B2415" t="s">
        <v>9023</v>
      </c>
      <c r="D2415" t="s">
        <v>9022</v>
      </c>
      <c r="F2415" t="s">
        <v>9024</v>
      </c>
      <c r="G2415" t="s">
        <v>9025</v>
      </c>
      <c r="H2415" t="str">
        <f>"020 8464 3332"</f>
        <v>020 8464 3332</v>
      </c>
    </row>
    <row r="2416" spans="1:8">
      <c r="A2416" t="s">
        <v>9011</v>
      </c>
      <c r="B2416" t="s">
        <v>9026</v>
      </c>
      <c r="D2416" t="s">
        <v>57</v>
      </c>
      <c r="F2416" t="s">
        <v>9027</v>
      </c>
      <c r="G2416" t="s">
        <v>9021</v>
      </c>
      <c r="H2416" t="str">
        <f>"020 8290 0333"</f>
        <v>020 8290 0333</v>
      </c>
    </row>
    <row r="2417" spans="1:8">
      <c r="A2417" t="s">
        <v>9028</v>
      </c>
      <c r="B2417" t="s">
        <v>9029</v>
      </c>
      <c r="D2417" t="s">
        <v>1411</v>
      </c>
      <c r="E2417" t="s">
        <v>1412</v>
      </c>
      <c r="F2417" t="s">
        <v>9030</v>
      </c>
      <c r="G2417" t="s">
        <v>9031</v>
      </c>
      <c r="H2417" t="str">
        <f>"01473 226231"</f>
        <v>01473 226231</v>
      </c>
    </row>
    <row r="2418" spans="1:8">
      <c r="A2418" t="s">
        <v>9028</v>
      </c>
      <c r="B2418" t="s">
        <v>9032</v>
      </c>
      <c r="D2418" t="s">
        <v>3047</v>
      </c>
      <c r="F2418" t="s">
        <v>9033</v>
      </c>
      <c r="G2418" t="s">
        <v>9034</v>
      </c>
      <c r="H2418" t="str">
        <f>"01394 242805"</f>
        <v>01394 242805</v>
      </c>
    </row>
    <row r="2419" spans="1:8">
      <c r="A2419" t="s">
        <v>9028</v>
      </c>
      <c r="B2419" t="s">
        <v>9035</v>
      </c>
      <c r="D2419" t="s">
        <v>5739</v>
      </c>
      <c r="F2419" t="s">
        <v>9036</v>
      </c>
      <c r="G2419" t="s">
        <v>9037</v>
      </c>
      <c r="H2419" t="str">
        <f>"01787 275447"</f>
        <v>01787 275447</v>
      </c>
    </row>
    <row r="2420" spans="1:8">
      <c r="A2420" t="s">
        <v>9028</v>
      </c>
      <c r="B2420" t="s">
        <v>9038</v>
      </c>
      <c r="C2420" t="s">
        <v>9039</v>
      </c>
      <c r="D2420" t="s">
        <v>9040</v>
      </c>
      <c r="F2420" t="s">
        <v>9041</v>
      </c>
      <c r="G2420" t="s">
        <v>9037</v>
      </c>
      <c r="H2420" t="str">
        <f>"01440 713456"</f>
        <v>01440 713456</v>
      </c>
    </row>
    <row r="2421" spans="1:8">
      <c r="A2421" t="s">
        <v>9042</v>
      </c>
      <c r="B2421" t="s">
        <v>9043</v>
      </c>
      <c r="D2421" t="s">
        <v>7872</v>
      </c>
      <c r="E2421" t="s">
        <v>292</v>
      </c>
      <c r="F2421" t="s">
        <v>9044</v>
      </c>
      <c r="G2421" t="s">
        <v>9045</v>
      </c>
      <c r="H2421" t="str">
        <f>"01476 565295"</f>
        <v>01476 565295</v>
      </c>
    </row>
    <row r="2422" spans="1:8">
      <c r="A2422" t="s">
        <v>9046</v>
      </c>
      <c r="B2422" t="s">
        <v>7102</v>
      </c>
      <c r="D2422" t="s">
        <v>8631</v>
      </c>
      <c r="E2422" t="s">
        <v>464</v>
      </c>
      <c r="F2422" t="s">
        <v>9047</v>
      </c>
      <c r="G2422" t="s">
        <v>9048</v>
      </c>
      <c r="H2422" t="str">
        <f>"01749 345756"</f>
        <v>01749 345756</v>
      </c>
    </row>
    <row r="2423" spans="1:8">
      <c r="A2423" t="s">
        <v>9046</v>
      </c>
      <c r="B2423" t="s">
        <v>9049</v>
      </c>
      <c r="D2423" t="s">
        <v>61</v>
      </c>
      <c r="F2423" t="s">
        <v>9050</v>
      </c>
      <c r="G2423" t="s">
        <v>9048</v>
      </c>
      <c r="H2423" t="str">
        <f>"01179721261"</f>
        <v>01179721261</v>
      </c>
    </row>
    <row r="2424" spans="1:8">
      <c r="A2424" t="s">
        <v>9046</v>
      </c>
      <c r="B2424" t="s">
        <v>4283</v>
      </c>
      <c r="D2424" t="s">
        <v>1132</v>
      </c>
      <c r="F2424" t="s">
        <v>9051</v>
      </c>
      <c r="G2424" t="s">
        <v>9048</v>
      </c>
      <c r="H2424" t="str">
        <f>"01278 554228"</f>
        <v>01278 554228</v>
      </c>
    </row>
    <row r="2425" spans="1:8">
      <c r="A2425" t="s">
        <v>9046</v>
      </c>
      <c r="B2425" t="s">
        <v>9052</v>
      </c>
      <c r="D2425" t="s">
        <v>9053</v>
      </c>
      <c r="F2425" t="s">
        <v>9054</v>
      </c>
      <c r="G2425" t="s">
        <v>9048</v>
      </c>
      <c r="H2425" t="str">
        <f>"01373 485596"</f>
        <v>01373 485596</v>
      </c>
    </row>
    <row r="2426" spans="1:8">
      <c r="A2426" t="s">
        <v>9046</v>
      </c>
      <c r="B2426" t="s">
        <v>9055</v>
      </c>
      <c r="C2426" t="s">
        <v>6276</v>
      </c>
      <c r="D2426" t="s">
        <v>61</v>
      </c>
      <c r="F2426" t="s">
        <v>9056</v>
      </c>
      <c r="G2426" t="s">
        <v>9048</v>
      </c>
      <c r="H2426" t="str">
        <f>"01174404560"</f>
        <v>01174404560</v>
      </c>
    </row>
    <row r="2427" spans="1:8">
      <c r="A2427" t="s">
        <v>9057</v>
      </c>
      <c r="B2427" t="s">
        <v>9058</v>
      </c>
      <c r="C2427" t="s">
        <v>9059</v>
      </c>
      <c r="D2427" t="s">
        <v>61</v>
      </c>
      <c r="E2427" t="s">
        <v>1956</v>
      </c>
      <c r="F2427" t="s">
        <v>9060</v>
      </c>
      <c r="G2427" t="s">
        <v>9061</v>
      </c>
      <c r="H2427" t="str">
        <f>"0117 9252020"</f>
        <v>0117 9252020</v>
      </c>
    </row>
    <row r="2428" spans="1:8">
      <c r="A2428" t="s">
        <v>9057</v>
      </c>
      <c r="B2428" t="s">
        <v>9062</v>
      </c>
      <c r="D2428" t="s">
        <v>217</v>
      </c>
      <c r="F2428" t="s">
        <v>9063</v>
      </c>
      <c r="G2428" t="s">
        <v>9061</v>
      </c>
      <c r="H2428" t="str">
        <f>"0207 405 1234"</f>
        <v>0207 405 1234</v>
      </c>
    </row>
    <row r="2429" spans="1:8">
      <c r="A2429" t="s">
        <v>9057</v>
      </c>
      <c r="B2429" t="s">
        <v>9064</v>
      </c>
      <c r="D2429" t="s">
        <v>9065</v>
      </c>
      <c r="E2429" t="s">
        <v>184</v>
      </c>
      <c r="F2429" t="s">
        <v>9066</v>
      </c>
      <c r="G2429" t="s">
        <v>9067</v>
      </c>
      <c r="H2429" t="str">
        <f>"01923 919 300  "</f>
        <v xml:space="preserve">01923 919 300  </v>
      </c>
    </row>
    <row r="2430" spans="1:8">
      <c r="A2430" t="s">
        <v>9057</v>
      </c>
      <c r="B2430" t="s">
        <v>9068</v>
      </c>
      <c r="D2430" t="s">
        <v>14</v>
      </c>
      <c r="E2430" t="s">
        <v>16</v>
      </c>
      <c r="F2430" t="s">
        <v>9069</v>
      </c>
      <c r="G2430" t="s">
        <v>9061</v>
      </c>
      <c r="H2430" t="str">
        <f>"0121 227 3700"</f>
        <v>0121 227 3700</v>
      </c>
    </row>
    <row r="2431" spans="1:8">
      <c r="A2431" t="s">
        <v>9057</v>
      </c>
      <c r="B2431" t="s">
        <v>9070</v>
      </c>
      <c r="C2431" t="s">
        <v>9071</v>
      </c>
      <c r="D2431" t="s">
        <v>61</v>
      </c>
      <c r="E2431" t="s">
        <v>1956</v>
      </c>
      <c r="F2431" t="s">
        <v>9072</v>
      </c>
      <c r="G2431" t="s">
        <v>9061</v>
      </c>
      <c r="H2431" t="str">
        <f>"0117 9629978"</f>
        <v>0117 9629978</v>
      </c>
    </row>
    <row r="2432" spans="1:8">
      <c r="A2432" t="s">
        <v>9073</v>
      </c>
      <c r="B2432" t="s">
        <v>9074</v>
      </c>
      <c r="D2432" t="s">
        <v>303</v>
      </c>
      <c r="F2432" t="s">
        <v>9075</v>
      </c>
      <c r="G2432" t="s">
        <v>9076</v>
      </c>
      <c r="H2432" t="str">
        <f>"029 2046 1480"</f>
        <v>029 2046 1480</v>
      </c>
    </row>
    <row r="2433" spans="1:8">
      <c r="A2433" t="s">
        <v>9073</v>
      </c>
      <c r="B2433" t="s">
        <v>9077</v>
      </c>
      <c r="D2433" t="s">
        <v>2457</v>
      </c>
      <c r="E2433" t="s">
        <v>1363</v>
      </c>
      <c r="F2433" t="s">
        <v>9078</v>
      </c>
      <c r="G2433" t="s">
        <v>9076</v>
      </c>
      <c r="H2433" t="str">
        <f>"01443407221"</f>
        <v>01443407221</v>
      </c>
    </row>
    <row r="2434" spans="1:8">
      <c r="A2434" t="s">
        <v>9073</v>
      </c>
      <c r="B2434" t="s">
        <v>9079</v>
      </c>
      <c r="E2434" t="s">
        <v>303</v>
      </c>
      <c r="F2434" t="s">
        <v>9080</v>
      </c>
      <c r="G2434" t="s">
        <v>9076</v>
      </c>
      <c r="H2434" t="str">
        <f>"029 2046 7150"</f>
        <v>029 2046 7150</v>
      </c>
    </row>
    <row r="2435" spans="1:8">
      <c r="A2435" t="s">
        <v>9081</v>
      </c>
      <c r="B2435" t="s">
        <v>9082</v>
      </c>
      <c r="D2435" t="s">
        <v>5295</v>
      </c>
      <c r="E2435" t="s">
        <v>171</v>
      </c>
      <c r="F2435" t="s">
        <v>9083</v>
      </c>
      <c r="G2435" t="s">
        <v>9084</v>
      </c>
      <c r="H2435" t="str">
        <f>"01233 624545"</f>
        <v>01233 624545</v>
      </c>
    </row>
    <row r="2436" spans="1:8">
      <c r="A2436" t="s">
        <v>9081</v>
      </c>
      <c r="B2436" t="s">
        <v>9085</v>
      </c>
      <c r="D2436" t="s">
        <v>7140</v>
      </c>
      <c r="E2436" t="s">
        <v>171</v>
      </c>
      <c r="F2436" t="s">
        <v>9086</v>
      </c>
      <c r="G2436" t="s">
        <v>9084</v>
      </c>
      <c r="H2436" t="str">
        <f>"01303 268775"</f>
        <v>01303 268775</v>
      </c>
    </row>
    <row r="2437" spans="1:8">
      <c r="A2437" t="s">
        <v>9081</v>
      </c>
      <c r="B2437" t="s">
        <v>9087</v>
      </c>
      <c r="D2437" t="s">
        <v>2676</v>
      </c>
      <c r="E2437" t="s">
        <v>171</v>
      </c>
      <c r="F2437" t="s">
        <v>9088</v>
      </c>
      <c r="G2437" t="s">
        <v>9089</v>
      </c>
      <c r="H2437" t="str">
        <f>"01580 715144"</f>
        <v>01580 715144</v>
      </c>
    </row>
    <row r="2438" spans="1:8">
      <c r="A2438" t="s">
        <v>9090</v>
      </c>
      <c r="B2438" t="s">
        <v>9091</v>
      </c>
      <c r="D2438" t="s">
        <v>9022</v>
      </c>
      <c r="E2438" t="s">
        <v>171</v>
      </c>
      <c r="F2438" t="s">
        <v>9092</v>
      </c>
      <c r="G2438" t="s">
        <v>9093</v>
      </c>
      <c r="H2438" t="str">
        <f>"02083006666"</f>
        <v>02083006666</v>
      </c>
    </row>
    <row r="2439" spans="1:8">
      <c r="A2439" t="s">
        <v>9094</v>
      </c>
      <c r="B2439" t="s">
        <v>9095</v>
      </c>
      <c r="C2439" t="s">
        <v>493</v>
      </c>
      <c r="D2439" t="s">
        <v>5314</v>
      </c>
      <c r="E2439" t="s">
        <v>236</v>
      </c>
      <c r="F2439" t="s">
        <v>9096</v>
      </c>
      <c r="G2439" t="s">
        <v>9097</v>
      </c>
      <c r="H2439" t="str">
        <f>"01538 755761"</f>
        <v>01538 755761</v>
      </c>
    </row>
    <row r="2440" spans="1:8">
      <c r="A2440" t="s">
        <v>9098</v>
      </c>
      <c r="B2440" t="s">
        <v>9099</v>
      </c>
      <c r="C2440" t="s">
        <v>9100</v>
      </c>
      <c r="D2440" t="s">
        <v>1198</v>
      </c>
      <c r="E2440" t="s">
        <v>9101</v>
      </c>
      <c r="F2440" t="s">
        <v>6460</v>
      </c>
      <c r="G2440" t="s">
        <v>9102</v>
      </c>
      <c r="H2440" t="str">
        <f>"01926258182"</f>
        <v>01926258182</v>
      </c>
    </row>
    <row r="2441" spans="1:8">
      <c r="A2441" t="s">
        <v>9098</v>
      </c>
      <c r="B2441" t="s">
        <v>9103</v>
      </c>
      <c r="C2441" t="s">
        <v>3660</v>
      </c>
      <c r="D2441" t="s">
        <v>14</v>
      </c>
      <c r="E2441" t="s">
        <v>16</v>
      </c>
      <c r="F2441" t="s">
        <v>9104</v>
      </c>
      <c r="G2441" t="s">
        <v>9102</v>
      </c>
      <c r="H2441" t="str">
        <f>"01217280242"</f>
        <v>01217280242</v>
      </c>
    </row>
    <row r="2442" spans="1:8">
      <c r="A2442" t="s">
        <v>9098</v>
      </c>
      <c r="B2442" t="s">
        <v>9105</v>
      </c>
      <c r="D2442" t="s">
        <v>217</v>
      </c>
      <c r="F2442" t="s">
        <v>9106</v>
      </c>
      <c r="G2442" t="s">
        <v>9102</v>
      </c>
      <c r="H2442" t="str">
        <f>"02073621620"</f>
        <v>02073621620</v>
      </c>
    </row>
    <row r="2443" spans="1:8">
      <c r="A2443" t="s">
        <v>9107</v>
      </c>
      <c r="B2443" t="s">
        <v>9108</v>
      </c>
      <c r="D2443" t="s">
        <v>3482</v>
      </c>
      <c r="E2443" t="s">
        <v>616</v>
      </c>
      <c r="F2443" t="s">
        <v>9109</v>
      </c>
      <c r="G2443" t="s">
        <v>9110</v>
      </c>
      <c r="H2443" t="str">
        <f>"01947603391"</f>
        <v>01947603391</v>
      </c>
    </row>
    <row r="2444" spans="1:8">
      <c r="A2444" t="s">
        <v>9111</v>
      </c>
      <c r="B2444" t="s">
        <v>9112</v>
      </c>
      <c r="D2444" t="s">
        <v>1457</v>
      </c>
      <c r="E2444" t="s">
        <v>340</v>
      </c>
      <c r="F2444" t="s">
        <v>9113</v>
      </c>
      <c r="G2444" t="s">
        <v>9114</v>
      </c>
      <c r="H2444" t="str">
        <f>"01915666500"</f>
        <v>01915666500</v>
      </c>
    </row>
    <row r="2445" spans="1:8">
      <c r="A2445" t="s">
        <v>9115</v>
      </c>
      <c r="B2445" t="s">
        <v>5565</v>
      </c>
      <c r="D2445" t="s">
        <v>892</v>
      </c>
      <c r="E2445" t="s">
        <v>893</v>
      </c>
      <c r="F2445" t="s">
        <v>5566</v>
      </c>
      <c r="G2445" t="s">
        <v>9116</v>
      </c>
      <c r="H2445" t="str">
        <f>"0151 224 0500"</f>
        <v>0151 224 0500</v>
      </c>
    </row>
    <row r="2446" spans="1:8">
      <c r="A2446" t="s">
        <v>9115</v>
      </c>
      <c r="B2446" t="s">
        <v>9117</v>
      </c>
      <c r="D2446" t="s">
        <v>297</v>
      </c>
      <c r="E2446" t="s">
        <v>132</v>
      </c>
      <c r="F2446" t="s">
        <v>9118</v>
      </c>
      <c r="G2446" t="s">
        <v>9119</v>
      </c>
      <c r="H2446" t="str">
        <f>"01618274600"</f>
        <v>01618274600</v>
      </c>
    </row>
    <row r="2447" spans="1:8">
      <c r="A2447" t="s">
        <v>9120</v>
      </c>
      <c r="B2447" t="s">
        <v>9121</v>
      </c>
      <c r="C2447" t="s">
        <v>9122</v>
      </c>
      <c r="D2447" t="s">
        <v>5146</v>
      </c>
      <c r="E2447" t="s">
        <v>736</v>
      </c>
      <c r="F2447" t="s">
        <v>9123</v>
      </c>
      <c r="G2447" t="s">
        <v>9124</v>
      </c>
      <c r="H2447" t="str">
        <f>"020 8590 1100"</f>
        <v>020 8590 1100</v>
      </c>
    </row>
    <row r="2448" spans="1:8">
      <c r="A2448" t="s">
        <v>9125</v>
      </c>
      <c r="B2448" t="s">
        <v>9126</v>
      </c>
      <c r="D2448" t="s">
        <v>7843</v>
      </c>
      <c r="E2448" t="s">
        <v>2958</v>
      </c>
      <c r="F2448" t="s">
        <v>9127</v>
      </c>
      <c r="G2448" t="s">
        <v>9128</v>
      </c>
      <c r="H2448" t="str">
        <f>"01970 624244"</f>
        <v>01970 624244</v>
      </c>
    </row>
    <row r="2449" spans="1:8">
      <c r="A2449" t="s">
        <v>9129</v>
      </c>
      <c r="B2449" t="s">
        <v>9130</v>
      </c>
      <c r="D2449" t="s">
        <v>7852</v>
      </c>
      <c r="F2449" t="s">
        <v>9131</v>
      </c>
      <c r="G2449" t="s">
        <v>9132</v>
      </c>
      <c r="H2449" t="str">
        <f>"01691622413"</f>
        <v>01691622413</v>
      </c>
    </row>
    <row r="2450" spans="1:8">
      <c r="A2450" t="s">
        <v>9129</v>
      </c>
      <c r="B2450" t="s">
        <v>9133</v>
      </c>
      <c r="D2450" t="s">
        <v>9134</v>
      </c>
      <c r="F2450" t="s">
        <v>9135</v>
      </c>
      <c r="G2450" t="s">
        <v>9136</v>
      </c>
      <c r="H2450" t="str">
        <f>"01691 622413"</f>
        <v>01691 622413</v>
      </c>
    </row>
    <row r="2451" spans="1:8">
      <c r="A2451" t="s">
        <v>9137</v>
      </c>
      <c r="B2451" t="s">
        <v>9138</v>
      </c>
      <c r="C2451" t="s">
        <v>9139</v>
      </c>
      <c r="D2451" t="s">
        <v>1486</v>
      </c>
      <c r="E2451" t="s">
        <v>1487</v>
      </c>
      <c r="F2451" t="s">
        <v>9140</v>
      </c>
      <c r="G2451" t="s">
        <v>9141</v>
      </c>
      <c r="H2451" t="str">
        <f>"0191 594 0093 "</f>
        <v xml:space="preserve">0191 594 0093 </v>
      </c>
    </row>
    <row r="2452" spans="1:8">
      <c r="A2452" t="s">
        <v>9137</v>
      </c>
      <c r="B2452" t="s">
        <v>9142</v>
      </c>
      <c r="D2452" t="s">
        <v>1462</v>
      </c>
      <c r="E2452" t="s">
        <v>2178</v>
      </c>
      <c r="F2452" t="s">
        <v>9143</v>
      </c>
      <c r="G2452" t="s">
        <v>9144</v>
      </c>
      <c r="H2452" t="str">
        <f>"0191 594 0093"</f>
        <v>0191 594 0093</v>
      </c>
    </row>
    <row r="2453" spans="1:8">
      <c r="A2453" t="s">
        <v>9137</v>
      </c>
      <c r="B2453" t="s">
        <v>9145</v>
      </c>
      <c r="D2453" t="s">
        <v>9146</v>
      </c>
      <c r="F2453" t="s">
        <v>9147</v>
      </c>
      <c r="G2453" t="s">
        <v>9144</v>
      </c>
      <c r="H2453" t="str">
        <f>"01325651040"</f>
        <v>01325651040</v>
      </c>
    </row>
    <row r="2454" spans="1:8">
      <c r="A2454" t="s">
        <v>9137</v>
      </c>
      <c r="B2454" t="s">
        <v>9148</v>
      </c>
      <c r="D2454" t="s">
        <v>66</v>
      </c>
      <c r="F2454" t="s">
        <v>9149</v>
      </c>
      <c r="G2454" t="s">
        <v>9144</v>
      </c>
      <c r="H2454" t="str">
        <f>"01768527000"</f>
        <v>01768527000</v>
      </c>
    </row>
    <row r="2455" spans="1:8">
      <c r="A2455" t="s">
        <v>9150</v>
      </c>
      <c r="B2455" t="s">
        <v>9151</v>
      </c>
      <c r="C2455" t="s">
        <v>4759</v>
      </c>
      <c r="D2455" t="s">
        <v>297</v>
      </c>
      <c r="E2455" t="s">
        <v>132</v>
      </c>
      <c r="F2455" t="s">
        <v>9152</v>
      </c>
      <c r="G2455" t="s">
        <v>9153</v>
      </c>
      <c r="H2455" t="str">
        <f>"01616432411"</f>
        <v>01616432411</v>
      </c>
    </row>
    <row r="2456" spans="1:8">
      <c r="A2456" t="s">
        <v>9150</v>
      </c>
      <c r="B2456" t="s">
        <v>9154</v>
      </c>
      <c r="D2456" t="s">
        <v>9155</v>
      </c>
      <c r="E2456" t="s">
        <v>132</v>
      </c>
      <c r="F2456" t="s">
        <v>9156</v>
      </c>
      <c r="G2456" t="s">
        <v>9153</v>
      </c>
      <c r="H2456" t="str">
        <f>"01706623511"</f>
        <v>01706623511</v>
      </c>
    </row>
    <row r="2457" spans="1:8">
      <c r="A2457" t="s">
        <v>9157</v>
      </c>
      <c r="B2457" t="s">
        <v>9158</v>
      </c>
      <c r="C2457" t="s">
        <v>9159</v>
      </c>
      <c r="D2457" t="s">
        <v>409</v>
      </c>
      <c r="F2457" t="s">
        <v>9160</v>
      </c>
      <c r="G2457" t="s">
        <v>9161</v>
      </c>
      <c r="H2457" t="str">
        <f>"01159100600"</f>
        <v>01159100600</v>
      </c>
    </row>
    <row r="2458" spans="1:8">
      <c r="A2458" t="s">
        <v>9157</v>
      </c>
      <c r="B2458" t="s">
        <v>9163</v>
      </c>
      <c r="C2458" t="s">
        <v>9162</v>
      </c>
      <c r="D2458" t="s">
        <v>409</v>
      </c>
      <c r="F2458" t="s">
        <v>9164</v>
      </c>
      <c r="G2458" t="s">
        <v>9161</v>
      </c>
      <c r="H2458" t="str">
        <f>"01159520900"</f>
        <v>01159520900</v>
      </c>
    </row>
    <row r="2459" spans="1:8">
      <c r="A2459" t="s">
        <v>9157</v>
      </c>
      <c r="B2459" t="s">
        <v>9166</v>
      </c>
      <c r="C2459" t="s">
        <v>9167</v>
      </c>
      <c r="D2459" t="s">
        <v>9165</v>
      </c>
      <c r="E2459" t="s">
        <v>409</v>
      </c>
      <c r="F2459" t="s">
        <v>9168</v>
      </c>
      <c r="G2459" t="s">
        <v>9161</v>
      </c>
      <c r="H2459" t="str">
        <f>"01159165200"</f>
        <v>01159165200</v>
      </c>
    </row>
    <row r="2460" spans="1:8">
      <c r="A2460" t="s">
        <v>9157</v>
      </c>
      <c r="B2460" t="s">
        <v>9169</v>
      </c>
      <c r="D2460" t="s">
        <v>5134</v>
      </c>
      <c r="F2460" t="s">
        <v>9170</v>
      </c>
      <c r="G2460" t="s">
        <v>9161</v>
      </c>
      <c r="H2460" t="str">
        <f>"01332 372211"</f>
        <v>01332 372211</v>
      </c>
    </row>
    <row r="2461" spans="1:8">
      <c r="A2461" t="s">
        <v>9157</v>
      </c>
      <c r="B2461" t="s">
        <v>9171</v>
      </c>
      <c r="D2461" t="s">
        <v>774</v>
      </c>
      <c r="F2461" t="s">
        <v>9172</v>
      </c>
      <c r="G2461" t="s">
        <v>9173</v>
      </c>
      <c r="H2461" t="str">
        <f>"0116 2548871"</f>
        <v>0116 2548871</v>
      </c>
    </row>
    <row r="2462" spans="1:8">
      <c r="A2462" t="s">
        <v>9157</v>
      </c>
      <c r="B2462" t="s">
        <v>9174</v>
      </c>
      <c r="D2462" t="s">
        <v>4284</v>
      </c>
      <c r="F2462" t="s">
        <v>4626</v>
      </c>
      <c r="G2462" t="s">
        <v>9161</v>
      </c>
      <c r="H2462" t="str">
        <f>"01858 467181"</f>
        <v>01858 467181</v>
      </c>
    </row>
    <row r="2463" spans="1:8">
      <c r="A2463" t="s">
        <v>9157</v>
      </c>
      <c r="B2463" t="s">
        <v>9175</v>
      </c>
      <c r="C2463" t="s">
        <v>1213</v>
      </c>
      <c r="D2463" t="s">
        <v>409</v>
      </c>
      <c r="F2463" t="s">
        <v>9176</v>
      </c>
      <c r="G2463" t="s">
        <v>9161</v>
      </c>
      <c r="H2463" t="str">
        <f>"0118 511666"</f>
        <v>0118 511666</v>
      </c>
    </row>
    <row r="2464" spans="1:8">
      <c r="A2464" t="s">
        <v>9157</v>
      </c>
      <c r="B2464" t="s">
        <v>9177</v>
      </c>
      <c r="D2464" t="s">
        <v>902</v>
      </c>
      <c r="F2464" t="s">
        <v>9178</v>
      </c>
      <c r="G2464" t="s">
        <v>9161</v>
      </c>
      <c r="H2464" t="str">
        <f>"0345465465"</f>
        <v>0345465465</v>
      </c>
    </row>
    <row r="2465" spans="1:8">
      <c r="A2465" t="s">
        <v>9179</v>
      </c>
      <c r="B2465" t="s">
        <v>9180</v>
      </c>
      <c r="D2465" t="s">
        <v>7883</v>
      </c>
      <c r="E2465" t="s">
        <v>1180</v>
      </c>
      <c r="F2465" t="s">
        <v>7884</v>
      </c>
      <c r="G2465" t="s">
        <v>9181</v>
      </c>
      <c r="H2465" t="str">
        <f>"01327350266"</f>
        <v>01327350266</v>
      </c>
    </row>
    <row r="2466" spans="1:8">
      <c r="A2466" t="s">
        <v>9179</v>
      </c>
      <c r="B2466" t="s">
        <v>9182</v>
      </c>
      <c r="C2466" t="s">
        <v>9183</v>
      </c>
      <c r="D2466" t="s">
        <v>4284</v>
      </c>
      <c r="E2466" t="s">
        <v>775</v>
      </c>
      <c r="F2466" t="s">
        <v>9184</v>
      </c>
      <c r="G2466" t="s">
        <v>9185</v>
      </c>
      <c r="H2466" t="str">
        <f>"01858 414233"</f>
        <v>01858 414233</v>
      </c>
    </row>
    <row r="2467" spans="1:8">
      <c r="A2467" t="s">
        <v>9186</v>
      </c>
      <c r="B2467" t="s">
        <v>9187</v>
      </c>
      <c r="C2467" t="s">
        <v>9188</v>
      </c>
      <c r="D2467" t="s">
        <v>970</v>
      </c>
      <c r="E2467" t="s">
        <v>971</v>
      </c>
      <c r="F2467" t="s">
        <v>1275</v>
      </c>
      <c r="G2467" t="s">
        <v>9189</v>
      </c>
      <c r="H2467" t="str">
        <f>"01432 352121"</f>
        <v>01432 352121</v>
      </c>
    </row>
    <row r="2468" spans="1:8">
      <c r="A2468" t="s">
        <v>9186</v>
      </c>
      <c r="B2468" t="s">
        <v>9190</v>
      </c>
      <c r="D2468" t="s">
        <v>3117</v>
      </c>
      <c r="E2468" t="s">
        <v>971</v>
      </c>
      <c r="F2468" t="s">
        <v>9191</v>
      </c>
      <c r="G2468" t="s">
        <v>9189</v>
      </c>
      <c r="H2468" t="str">
        <f>"01568 615905"</f>
        <v>01568 615905</v>
      </c>
    </row>
    <row r="2469" spans="1:8">
      <c r="A2469" t="s">
        <v>9192</v>
      </c>
      <c r="B2469" t="s">
        <v>9193</v>
      </c>
      <c r="D2469" t="s">
        <v>124</v>
      </c>
      <c r="E2469" t="s">
        <v>121</v>
      </c>
      <c r="F2469" t="s">
        <v>9194</v>
      </c>
      <c r="G2469" t="s">
        <v>9195</v>
      </c>
      <c r="H2469" t="str">
        <f>"02380 482353"</f>
        <v>02380 482353</v>
      </c>
    </row>
    <row r="2470" spans="1:8">
      <c r="A2470" t="s">
        <v>9192</v>
      </c>
      <c r="B2470" t="s">
        <v>9196</v>
      </c>
      <c r="D2470" t="s">
        <v>868</v>
      </c>
      <c r="E2470" t="s">
        <v>121</v>
      </c>
      <c r="F2470" t="s">
        <v>9197</v>
      </c>
      <c r="G2470" t="s">
        <v>9195</v>
      </c>
      <c r="H2470" t="str">
        <f>"01926 941029"</f>
        <v>01926 941029</v>
      </c>
    </row>
    <row r="2471" spans="1:8">
      <c r="A2471" t="s">
        <v>9192</v>
      </c>
      <c r="B2471" t="s">
        <v>9198</v>
      </c>
      <c r="D2471" t="s">
        <v>1553</v>
      </c>
      <c r="F2471" t="s">
        <v>9199</v>
      </c>
      <c r="G2471" t="s">
        <v>9200</v>
      </c>
      <c r="H2471" t="str">
        <f>"01202 162042"</f>
        <v>01202 162042</v>
      </c>
    </row>
    <row r="2472" spans="1:8">
      <c r="A2472" t="s">
        <v>9201</v>
      </c>
      <c r="B2472" t="s">
        <v>9202</v>
      </c>
      <c r="D2472" t="s">
        <v>57</v>
      </c>
      <c r="F2472" t="s">
        <v>9203</v>
      </c>
      <c r="G2472" t="s">
        <v>9204</v>
      </c>
      <c r="H2472" t="str">
        <f>"02070798120"</f>
        <v>02070798120</v>
      </c>
    </row>
    <row r="2473" spans="1:8">
      <c r="A2473" t="s">
        <v>9205</v>
      </c>
      <c r="B2473" t="s">
        <v>9206</v>
      </c>
      <c r="C2473" t="s">
        <v>9207</v>
      </c>
      <c r="D2473" t="s">
        <v>5301</v>
      </c>
      <c r="E2473" t="s">
        <v>236</v>
      </c>
      <c r="F2473" t="s">
        <v>4228</v>
      </c>
      <c r="G2473" t="s">
        <v>9208</v>
      </c>
      <c r="H2473" t="str">
        <f>"01283 561531"</f>
        <v>01283 561531</v>
      </c>
    </row>
    <row r="2474" spans="1:8">
      <c r="A2474" t="s">
        <v>9205</v>
      </c>
      <c r="B2474" t="s">
        <v>9209</v>
      </c>
      <c r="D2474" t="s">
        <v>5134</v>
      </c>
      <c r="E2474" t="s">
        <v>1033</v>
      </c>
      <c r="F2474" t="s">
        <v>9210</v>
      </c>
      <c r="G2474" t="s">
        <v>9211</v>
      </c>
      <c r="H2474" t="str">
        <f>"01332 364436"</f>
        <v>01332 364436</v>
      </c>
    </row>
    <row r="2475" spans="1:8">
      <c r="A2475" t="s">
        <v>9205</v>
      </c>
      <c r="B2475" t="s">
        <v>9212</v>
      </c>
      <c r="D2475" t="s">
        <v>3248</v>
      </c>
      <c r="E2475" t="s">
        <v>775</v>
      </c>
      <c r="F2475" t="s">
        <v>9213</v>
      </c>
      <c r="G2475" t="s">
        <v>9214</v>
      </c>
      <c r="H2475" t="str">
        <f>"01530 564498"</f>
        <v>01530 564498</v>
      </c>
    </row>
    <row r="2476" spans="1:8">
      <c r="A2476" t="s">
        <v>9205</v>
      </c>
      <c r="B2476" t="s">
        <v>9215</v>
      </c>
      <c r="D2476" t="s">
        <v>5311</v>
      </c>
      <c r="E2476" t="s">
        <v>1033</v>
      </c>
      <c r="F2476" t="s">
        <v>9216</v>
      </c>
      <c r="G2476" t="s">
        <v>9208</v>
      </c>
      <c r="H2476" t="str">
        <f>"01283 214231"</f>
        <v>01283 214231</v>
      </c>
    </row>
    <row r="2477" spans="1:8">
      <c r="A2477" t="s">
        <v>9217</v>
      </c>
      <c r="B2477" t="s">
        <v>9218</v>
      </c>
      <c r="D2477" t="s">
        <v>674</v>
      </c>
      <c r="E2477" t="s">
        <v>280</v>
      </c>
      <c r="F2477" t="s">
        <v>9219</v>
      </c>
      <c r="G2477" t="s">
        <v>9220</v>
      </c>
      <c r="H2477" t="str">
        <f>"01274 541035"</f>
        <v>01274 541035</v>
      </c>
    </row>
    <row r="2478" spans="1:8">
      <c r="A2478" t="s">
        <v>9221</v>
      </c>
      <c r="B2478" t="s">
        <v>9222</v>
      </c>
      <c r="C2478" t="s">
        <v>5861</v>
      </c>
      <c r="D2478" t="s">
        <v>2724</v>
      </c>
      <c r="E2478" t="s">
        <v>292</v>
      </c>
      <c r="F2478" t="s">
        <v>9223</v>
      </c>
      <c r="G2478" t="s">
        <v>9224</v>
      </c>
      <c r="H2478" t="str">
        <f>"01507 606161 "</f>
        <v xml:space="preserve">01507 606161 </v>
      </c>
    </row>
    <row r="2479" spans="1:8">
      <c r="A2479" t="s">
        <v>9221</v>
      </c>
      <c r="B2479" t="s">
        <v>9225</v>
      </c>
      <c r="D2479" t="s">
        <v>2220</v>
      </c>
      <c r="E2479" t="s">
        <v>2221</v>
      </c>
      <c r="F2479" t="s">
        <v>9226</v>
      </c>
      <c r="G2479" t="s">
        <v>9227</v>
      </c>
      <c r="H2479" t="str">
        <f>"01472 262626"</f>
        <v>01472 262626</v>
      </c>
    </row>
    <row r="2480" spans="1:8">
      <c r="A2480" t="s">
        <v>9221</v>
      </c>
      <c r="B2480" t="s">
        <v>9228</v>
      </c>
      <c r="D2480" t="s">
        <v>4710</v>
      </c>
      <c r="E2480" t="s">
        <v>3490</v>
      </c>
      <c r="F2480" t="s">
        <v>9229</v>
      </c>
      <c r="G2480" t="s">
        <v>9227</v>
      </c>
      <c r="H2480" t="str">
        <f>"01482398398 "</f>
        <v xml:space="preserve">01482398398 </v>
      </c>
    </row>
    <row r="2481" spans="1:8">
      <c r="A2481" t="s">
        <v>9221</v>
      </c>
      <c r="B2481" t="s">
        <v>9230</v>
      </c>
      <c r="D2481" t="s">
        <v>291</v>
      </c>
      <c r="E2481" t="s">
        <v>292</v>
      </c>
      <c r="F2481" t="s">
        <v>9231</v>
      </c>
      <c r="G2481" t="s">
        <v>9227</v>
      </c>
      <c r="H2481" t="str">
        <f>"01522512345"</f>
        <v>01522512345</v>
      </c>
    </row>
    <row r="2482" spans="1:8">
      <c r="A2482" t="s">
        <v>9221</v>
      </c>
      <c r="B2482" t="s">
        <v>9232</v>
      </c>
      <c r="D2482" t="s">
        <v>1426</v>
      </c>
      <c r="F2482" t="s">
        <v>9233</v>
      </c>
      <c r="G2482" t="s">
        <v>9234</v>
      </c>
      <c r="H2482" t="str">
        <f>"01482323239 "</f>
        <v xml:space="preserve">01482323239 </v>
      </c>
    </row>
    <row r="2483" spans="1:8">
      <c r="A2483" t="s">
        <v>9221</v>
      </c>
      <c r="B2483" t="s">
        <v>9235</v>
      </c>
      <c r="C2483" t="s">
        <v>9236</v>
      </c>
      <c r="D2483" t="s">
        <v>9237</v>
      </c>
      <c r="E2483" t="s">
        <v>615</v>
      </c>
      <c r="F2483" t="s">
        <v>9238</v>
      </c>
      <c r="G2483" t="s">
        <v>9227</v>
      </c>
      <c r="H2483" t="str">
        <f>"01904 625790"</f>
        <v>01904 625790</v>
      </c>
    </row>
    <row r="2484" spans="1:8">
      <c r="A2484" t="s">
        <v>9239</v>
      </c>
      <c r="B2484" t="s">
        <v>9240</v>
      </c>
      <c r="D2484" t="s">
        <v>14</v>
      </c>
      <c r="E2484" t="s">
        <v>3940</v>
      </c>
      <c r="F2484" t="s">
        <v>9241</v>
      </c>
      <c r="G2484" t="s">
        <v>9242</v>
      </c>
      <c r="H2484" t="str">
        <f>"0121 356 5007"</f>
        <v>0121 356 5007</v>
      </c>
    </row>
    <row r="2485" spans="1:8">
      <c r="A2485" t="s">
        <v>9243</v>
      </c>
      <c r="B2485" t="s">
        <v>9244</v>
      </c>
      <c r="D2485" t="s">
        <v>1445</v>
      </c>
      <c r="E2485" t="s">
        <v>736</v>
      </c>
      <c r="F2485" t="s">
        <v>9245</v>
      </c>
      <c r="G2485" t="s">
        <v>9246</v>
      </c>
      <c r="H2485" t="str">
        <f>"01702 221947"</f>
        <v>01702 221947</v>
      </c>
    </row>
    <row r="2486" spans="1:8">
      <c r="A2486" t="s">
        <v>9243</v>
      </c>
      <c r="B2486" t="s">
        <v>9247</v>
      </c>
      <c r="D2486" t="s">
        <v>6813</v>
      </c>
      <c r="E2486" t="s">
        <v>736</v>
      </c>
      <c r="F2486" t="s">
        <v>9248</v>
      </c>
      <c r="G2486" t="s">
        <v>9249</v>
      </c>
      <c r="H2486" t="str">
        <f>"01702339222"</f>
        <v>01702339222</v>
      </c>
    </row>
    <row r="2487" spans="1:8">
      <c r="A2487" t="s">
        <v>9243</v>
      </c>
      <c r="B2487" t="s">
        <v>9250</v>
      </c>
      <c r="D2487" t="s">
        <v>4133</v>
      </c>
      <c r="E2487" t="s">
        <v>736</v>
      </c>
      <c r="F2487" t="s">
        <v>9251</v>
      </c>
      <c r="G2487" t="s">
        <v>9249</v>
      </c>
      <c r="H2487" t="str">
        <f>"01702346677"</f>
        <v>01702346677</v>
      </c>
    </row>
    <row r="2488" spans="1:8">
      <c r="A2488" t="s">
        <v>9252</v>
      </c>
      <c r="B2488" t="s">
        <v>9253</v>
      </c>
      <c r="D2488" t="s">
        <v>2027</v>
      </c>
      <c r="E2488" t="s">
        <v>1412</v>
      </c>
      <c r="F2488" t="s">
        <v>9254</v>
      </c>
      <c r="G2488" t="s">
        <v>9255</v>
      </c>
      <c r="H2488" t="str">
        <f>"01284727297"</f>
        <v>01284727297</v>
      </c>
    </row>
    <row r="2489" spans="1:8">
      <c r="A2489" t="s">
        <v>9252</v>
      </c>
      <c r="B2489" t="s">
        <v>9256</v>
      </c>
      <c r="D2489" t="s">
        <v>1411</v>
      </c>
      <c r="E2489" t="s">
        <v>1412</v>
      </c>
      <c r="F2489" t="s">
        <v>2529</v>
      </c>
      <c r="G2489" t="s">
        <v>9255</v>
      </c>
      <c r="H2489" t="str">
        <f>"01473 234730"</f>
        <v>01473 234730</v>
      </c>
    </row>
    <row r="2490" spans="1:8">
      <c r="A2490" t="s">
        <v>9252</v>
      </c>
      <c r="B2490" t="s">
        <v>9257</v>
      </c>
      <c r="C2490" t="s">
        <v>9258</v>
      </c>
      <c r="D2490" t="s">
        <v>8004</v>
      </c>
      <c r="E2490" t="s">
        <v>742</v>
      </c>
      <c r="F2490" t="s">
        <v>9259</v>
      </c>
      <c r="G2490" t="s">
        <v>9255</v>
      </c>
      <c r="H2490" t="str">
        <f>"01379 646040"</f>
        <v>01379 646040</v>
      </c>
    </row>
    <row r="2491" spans="1:8">
      <c r="A2491" t="s">
        <v>9252</v>
      </c>
      <c r="B2491" t="s">
        <v>9260</v>
      </c>
      <c r="C2491" t="s">
        <v>1084</v>
      </c>
      <c r="D2491" t="s">
        <v>379</v>
      </c>
      <c r="E2491" t="s">
        <v>369</v>
      </c>
      <c r="F2491" t="s">
        <v>1085</v>
      </c>
      <c r="G2491" t="s">
        <v>9255</v>
      </c>
      <c r="H2491" t="str">
        <f>"01223 236555"</f>
        <v>01223 236555</v>
      </c>
    </row>
    <row r="2492" spans="1:8">
      <c r="A2492" t="s">
        <v>9252</v>
      </c>
      <c r="B2492" t="s">
        <v>9262</v>
      </c>
      <c r="C2492" t="s">
        <v>9261</v>
      </c>
      <c r="D2492" t="s">
        <v>5269</v>
      </c>
      <c r="E2492" t="s">
        <v>736</v>
      </c>
      <c r="F2492" t="s">
        <v>9263</v>
      </c>
      <c r="G2492" t="s">
        <v>9255</v>
      </c>
      <c r="H2492" t="str">
        <f>"01206 710717"</f>
        <v>01206 710717</v>
      </c>
    </row>
    <row r="2493" spans="1:8">
      <c r="A2493" t="s">
        <v>9252</v>
      </c>
      <c r="B2493" t="s">
        <v>9264</v>
      </c>
      <c r="D2493" t="s">
        <v>9265</v>
      </c>
      <c r="E2493" t="s">
        <v>736</v>
      </c>
      <c r="F2493" t="s">
        <v>9266</v>
      </c>
      <c r="G2493" t="s">
        <v>9255</v>
      </c>
      <c r="H2493" t="str">
        <f>"01255 442666"</f>
        <v>01255 442666</v>
      </c>
    </row>
    <row r="2494" spans="1:8">
      <c r="A2494" t="s">
        <v>9252</v>
      </c>
      <c r="B2494" t="s">
        <v>9268</v>
      </c>
      <c r="D2494" t="s">
        <v>9267</v>
      </c>
      <c r="E2494" t="s">
        <v>742</v>
      </c>
      <c r="F2494" t="s">
        <v>9269</v>
      </c>
      <c r="G2494" t="s">
        <v>9270</v>
      </c>
      <c r="H2494" t="str">
        <f>"01263 805980"</f>
        <v>01263 805980</v>
      </c>
    </row>
    <row r="2495" spans="1:8">
      <c r="A2495" t="s">
        <v>9271</v>
      </c>
      <c r="B2495" t="s">
        <v>9272</v>
      </c>
      <c r="D2495" t="s">
        <v>1117</v>
      </c>
      <c r="E2495" t="s">
        <v>315</v>
      </c>
      <c r="F2495" t="s">
        <v>9273</v>
      </c>
      <c r="G2495" t="s">
        <v>9274</v>
      </c>
      <c r="H2495" t="str">
        <f>"01614806551"</f>
        <v>01614806551</v>
      </c>
    </row>
    <row r="2496" spans="1:8">
      <c r="A2496" t="s">
        <v>9271</v>
      </c>
      <c r="B2496" t="s">
        <v>9276</v>
      </c>
      <c r="C2496" t="s">
        <v>9275</v>
      </c>
      <c r="D2496" t="s">
        <v>1117</v>
      </c>
      <c r="E2496" t="s">
        <v>315</v>
      </c>
      <c r="F2496" t="s">
        <v>9277</v>
      </c>
      <c r="G2496" t="s">
        <v>9274</v>
      </c>
      <c r="H2496" t="str">
        <f>"01614308831"</f>
        <v>01614308831</v>
      </c>
    </row>
    <row r="2497" spans="1:8">
      <c r="A2497" t="s">
        <v>9271</v>
      </c>
      <c r="B2497" t="s">
        <v>9278</v>
      </c>
      <c r="D2497" t="s">
        <v>654</v>
      </c>
      <c r="E2497" t="s">
        <v>315</v>
      </c>
      <c r="F2497" t="s">
        <v>9279</v>
      </c>
      <c r="G2497" t="s">
        <v>9274</v>
      </c>
      <c r="H2497" t="str">
        <f>"01625523647"</f>
        <v>01625523647</v>
      </c>
    </row>
    <row r="2498" spans="1:8">
      <c r="A2498" t="s">
        <v>9271</v>
      </c>
      <c r="B2498" t="s">
        <v>9280</v>
      </c>
      <c r="D2498" t="s">
        <v>8918</v>
      </c>
      <c r="E2498" t="s">
        <v>315</v>
      </c>
      <c r="F2498" t="s">
        <v>9281</v>
      </c>
      <c r="G2498" t="s">
        <v>9274</v>
      </c>
      <c r="H2498" t="str">
        <f>"0161 338 2135"</f>
        <v>0161 338 2135</v>
      </c>
    </row>
    <row r="2499" spans="1:8">
      <c r="A2499" t="s">
        <v>9271</v>
      </c>
      <c r="B2499" t="s">
        <v>9282</v>
      </c>
      <c r="C2499" t="s">
        <v>9283</v>
      </c>
      <c r="D2499" t="s">
        <v>1117</v>
      </c>
      <c r="E2499" t="s">
        <v>315</v>
      </c>
      <c r="F2499" t="s">
        <v>9284</v>
      </c>
      <c r="G2499" t="s">
        <v>9274</v>
      </c>
      <c r="H2499" t="str">
        <f>"0161 430 4073"</f>
        <v>0161 430 4073</v>
      </c>
    </row>
    <row r="2500" spans="1:8">
      <c r="A2500" t="s">
        <v>9285</v>
      </c>
      <c r="B2500" t="s">
        <v>8524</v>
      </c>
      <c r="D2500" t="s">
        <v>2898</v>
      </c>
      <c r="E2500" t="s">
        <v>309</v>
      </c>
      <c r="F2500" t="s">
        <v>9286</v>
      </c>
      <c r="G2500" t="s">
        <v>9287</v>
      </c>
      <c r="H2500" t="str">
        <f>"01363 774752"</f>
        <v>01363 774752</v>
      </c>
    </row>
    <row r="2501" spans="1:8">
      <c r="A2501" t="s">
        <v>9288</v>
      </c>
      <c r="B2501" t="s">
        <v>9289</v>
      </c>
      <c r="D2501" t="s">
        <v>9290</v>
      </c>
      <c r="E2501" t="s">
        <v>1033</v>
      </c>
      <c r="F2501" t="s">
        <v>9291</v>
      </c>
      <c r="G2501" t="s">
        <v>9292</v>
      </c>
      <c r="H2501" t="str">
        <f>"0162 956660"</f>
        <v>0162 956660</v>
      </c>
    </row>
    <row r="2502" spans="1:8">
      <c r="A2502" t="s">
        <v>9288</v>
      </c>
      <c r="B2502" t="s">
        <v>9294</v>
      </c>
      <c r="C2502" t="s">
        <v>9293</v>
      </c>
      <c r="D2502" t="s">
        <v>9290</v>
      </c>
      <c r="E2502" t="s">
        <v>1033</v>
      </c>
      <c r="F2502" t="s">
        <v>9295</v>
      </c>
      <c r="G2502" t="s">
        <v>9292</v>
      </c>
      <c r="H2502" t="str">
        <f>"0162 956660"</f>
        <v>0162 956660</v>
      </c>
    </row>
    <row r="2503" spans="1:8">
      <c r="A2503" t="s">
        <v>9288</v>
      </c>
      <c r="B2503" t="s">
        <v>9296</v>
      </c>
      <c r="D2503" t="s">
        <v>8945</v>
      </c>
      <c r="F2503" t="s">
        <v>9297</v>
      </c>
      <c r="G2503" t="s">
        <v>9298</v>
      </c>
      <c r="H2503" t="str">
        <f>"0162956660"</f>
        <v>0162956660</v>
      </c>
    </row>
    <row r="2504" spans="1:8">
      <c r="A2504" t="s">
        <v>9288</v>
      </c>
      <c r="B2504" t="s">
        <v>8312</v>
      </c>
      <c r="D2504" t="s">
        <v>9299</v>
      </c>
      <c r="F2504" t="s">
        <v>9300</v>
      </c>
      <c r="G2504" t="s">
        <v>9301</v>
      </c>
      <c r="H2504" t="str">
        <f>"0129822741"</f>
        <v>0129822741</v>
      </c>
    </row>
    <row r="2505" spans="1:8">
      <c r="A2505" t="s">
        <v>9302</v>
      </c>
      <c r="B2505" t="s">
        <v>9303</v>
      </c>
      <c r="D2505" t="s">
        <v>2311</v>
      </c>
      <c r="E2505" t="s">
        <v>132</v>
      </c>
      <c r="F2505" t="s">
        <v>9304</v>
      </c>
      <c r="G2505" t="s">
        <v>9305</v>
      </c>
      <c r="H2505" t="str">
        <f>"01942 673431"</f>
        <v>01942 673431</v>
      </c>
    </row>
    <row r="2506" spans="1:8">
      <c r="A2506" t="s">
        <v>9306</v>
      </c>
      <c r="B2506" t="s">
        <v>9307</v>
      </c>
      <c r="D2506" t="s">
        <v>2957</v>
      </c>
      <c r="E2506" t="s">
        <v>2958</v>
      </c>
      <c r="F2506" t="s">
        <v>9308</v>
      </c>
      <c r="G2506" t="s">
        <v>9309</v>
      </c>
      <c r="H2506" t="str">
        <f>"0333 0064800"</f>
        <v>0333 0064800</v>
      </c>
    </row>
    <row r="2507" spans="1:8">
      <c r="A2507" t="s">
        <v>9310</v>
      </c>
      <c r="B2507" t="s">
        <v>9311</v>
      </c>
      <c r="D2507" t="s">
        <v>379</v>
      </c>
      <c r="E2507" t="s">
        <v>369</v>
      </c>
      <c r="F2507" t="s">
        <v>9312</v>
      </c>
      <c r="G2507" t="s">
        <v>9313</v>
      </c>
      <c r="H2507" t="str">
        <f>"01223 417200"</f>
        <v>01223 417200</v>
      </c>
    </row>
    <row r="2508" spans="1:8">
      <c r="A2508" t="s">
        <v>9314</v>
      </c>
      <c r="B2508" t="s">
        <v>9315</v>
      </c>
      <c r="C2508" t="s">
        <v>9316</v>
      </c>
      <c r="D2508" t="s">
        <v>9317</v>
      </c>
      <c r="E2508" t="s">
        <v>121</v>
      </c>
      <c r="F2508" t="s">
        <v>9318</v>
      </c>
      <c r="G2508" t="s">
        <v>9319</v>
      </c>
      <c r="H2508" t="str">
        <f>"02392492300"</f>
        <v>02392492300</v>
      </c>
    </row>
    <row r="2509" spans="1:8">
      <c r="A2509" t="s">
        <v>9314</v>
      </c>
      <c r="B2509" t="s">
        <v>9320</v>
      </c>
      <c r="C2509" t="s">
        <v>9321</v>
      </c>
      <c r="D2509" t="s">
        <v>120</v>
      </c>
      <c r="E2509" t="s">
        <v>121</v>
      </c>
      <c r="F2509" t="s">
        <v>9322</v>
      </c>
      <c r="G2509" t="s">
        <v>9323</v>
      </c>
      <c r="H2509" t="str">
        <f>"01329 282841"</f>
        <v>01329 282841</v>
      </c>
    </row>
    <row r="2510" spans="1:8">
      <c r="A2510" t="s">
        <v>9314</v>
      </c>
      <c r="B2510" t="s">
        <v>9324</v>
      </c>
      <c r="D2510" t="s">
        <v>1779</v>
      </c>
      <c r="F2510" t="s">
        <v>9325</v>
      </c>
      <c r="G2510" t="s">
        <v>9326</v>
      </c>
      <c r="H2510" t="str">
        <f>"01243 787899"</f>
        <v>01243 787899</v>
      </c>
    </row>
    <row r="2511" spans="1:8">
      <c r="A2511" t="s">
        <v>9314</v>
      </c>
      <c r="B2511" t="s">
        <v>9327</v>
      </c>
      <c r="D2511" t="s">
        <v>9328</v>
      </c>
      <c r="F2511" t="s">
        <v>9329</v>
      </c>
      <c r="G2511" t="s">
        <v>9323</v>
      </c>
      <c r="H2511" t="str">
        <f>"01798 342391"</f>
        <v>01798 342391</v>
      </c>
    </row>
    <row r="2512" spans="1:8">
      <c r="A2512" t="s">
        <v>9330</v>
      </c>
      <c r="B2512" t="s">
        <v>9331</v>
      </c>
      <c r="C2512" t="s">
        <v>9332</v>
      </c>
      <c r="D2512" t="s">
        <v>5411</v>
      </c>
      <c r="E2512" t="s">
        <v>200</v>
      </c>
      <c r="F2512" t="s">
        <v>9333</v>
      </c>
      <c r="G2512" t="s">
        <v>9334</v>
      </c>
      <c r="H2512" t="str">
        <f>"01483485700"</f>
        <v>01483485700</v>
      </c>
    </row>
    <row r="2513" spans="1:8">
      <c r="A2513" t="s">
        <v>9335</v>
      </c>
      <c r="B2513" t="s">
        <v>9336</v>
      </c>
      <c r="C2513" t="s">
        <v>6695</v>
      </c>
      <c r="D2513" t="s">
        <v>420</v>
      </c>
      <c r="F2513" t="s">
        <v>9337</v>
      </c>
      <c r="G2513" t="s">
        <v>9338</v>
      </c>
      <c r="H2513" t="str">
        <f>"01995 602129"</f>
        <v>01995 602129</v>
      </c>
    </row>
    <row r="2514" spans="1:8">
      <c r="A2514" t="s">
        <v>9335</v>
      </c>
      <c r="B2514" t="s">
        <v>9339</v>
      </c>
      <c r="D2514" t="s">
        <v>2018</v>
      </c>
      <c r="F2514" t="s">
        <v>9340</v>
      </c>
      <c r="G2514" t="s">
        <v>9338</v>
      </c>
      <c r="H2514" t="str">
        <f>"01524 581306"</f>
        <v>01524 581306</v>
      </c>
    </row>
    <row r="2515" spans="1:8">
      <c r="A2515" t="s">
        <v>9335</v>
      </c>
      <c r="B2515" t="s">
        <v>9341</v>
      </c>
      <c r="C2515" t="s">
        <v>9342</v>
      </c>
      <c r="D2515" t="s">
        <v>420</v>
      </c>
      <c r="F2515" t="s">
        <v>9343</v>
      </c>
      <c r="G2515" t="s">
        <v>9338</v>
      </c>
      <c r="H2515" t="str">
        <f>"01772 783 314"</f>
        <v>01772 783 314</v>
      </c>
    </row>
    <row r="2516" spans="1:8">
      <c r="A2516" t="s">
        <v>9344</v>
      </c>
      <c r="B2516" t="s">
        <v>9345</v>
      </c>
      <c r="C2516" t="s">
        <v>9346</v>
      </c>
      <c r="D2516" t="s">
        <v>9347</v>
      </c>
      <c r="F2516" t="s">
        <v>9348</v>
      </c>
      <c r="G2516" t="s">
        <v>9349</v>
      </c>
      <c r="H2516" t="str">
        <f>"01159556555"</f>
        <v>01159556555</v>
      </c>
    </row>
    <row r="2517" spans="1:8">
      <c r="A2517" t="s">
        <v>9350</v>
      </c>
      <c r="B2517" t="s">
        <v>9351</v>
      </c>
      <c r="C2517" t="s">
        <v>9352</v>
      </c>
      <c r="D2517" t="s">
        <v>170</v>
      </c>
      <c r="E2517" t="s">
        <v>171</v>
      </c>
      <c r="F2517" t="s">
        <v>9353</v>
      </c>
      <c r="G2517" t="s">
        <v>9354</v>
      </c>
      <c r="H2517" t="str">
        <f>"01622 698007"</f>
        <v>01622 698007</v>
      </c>
    </row>
    <row r="2518" spans="1:8">
      <c r="A2518" t="s">
        <v>9350</v>
      </c>
      <c r="B2518" t="s">
        <v>9355</v>
      </c>
      <c r="D2518" t="s">
        <v>9356</v>
      </c>
      <c r="E2518" t="s">
        <v>171</v>
      </c>
      <c r="F2518" t="s">
        <v>9357</v>
      </c>
      <c r="G2518" t="s">
        <v>9354</v>
      </c>
      <c r="H2518" t="str">
        <f>"01580 765722"</f>
        <v>01580 765722</v>
      </c>
    </row>
    <row r="2519" spans="1:8">
      <c r="A2519" t="s">
        <v>9350</v>
      </c>
      <c r="B2519" t="s">
        <v>9358</v>
      </c>
      <c r="D2519" t="s">
        <v>927</v>
      </c>
      <c r="E2519" t="s">
        <v>171</v>
      </c>
      <c r="F2519" t="s">
        <v>9359</v>
      </c>
      <c r="G2519" t="s">
        <v>9354</v>
      </c>
      <c r="H2519" t="str">
        <f>"01227 643250"</f>
        <v>01227 643250</v>
      </c>
    </row>
    <row r="2520" spans="1:8">
      <c r="A2520" t="s">
        <v>9350</v>
      </c>
      <c r="B2520" t="s">
        <v>9360</v>
      </c>
      <c r="C2520" t="s">
        <v>9361</v>
      </c>
      <c r="D2520" t="s">
        <v>9362</v>
      </c>
      <c r="F2520" t="s">
        <v>9363</v>
      </c>
      <c r="G2520" t="s">
        <v>9364</v>
      </c>
      <c r="H2520" t="str">
        <f>"01227 643250"</f>
        <v>01227 643250</v>
      </c>
    </row>
    <row r="2521" spans="1:8">
      <c r="A2521" t="s">
        <v>9365</v>
      </c>
      <c r="B2521" t="s">
        <v>9366</v>
      </c>
      <c r="D2521" t="s">
        <v>57</v>
      </c>
      <c r="F2521" t="s">
        <v>9367</v>
      </c>
      <c r="G2521" t="s">
        <v>9368</v>
      </c>
      <c r="H2521" t="str">
        <f>"020 7387 2032"</f>
        <v>020 7387 2032</v>
      </c>
    </row>
    <row r="2522" spans="1:8">
      <c r="A2522" t="s">
        <v>9369</v>
      </c>
      <c r="B2522" t="s">
        <v>9370</v>
      </c>
      <c r="D2522" t="s">
        <v>970</v>
      </c>
      <c r="F2522" t="s">
        <v>9371</v>
      </c>
      <c r="G2522" t="s">
        <v>9372</v>
      </c>
      <c r="H2522" t="str">
        <f>"01432 355366"</f>
        <v>01432 355366</v>
      </c>
    </row>
    <row r="2523" spans="1:8">
      <c r="A2523" t="s">
        <v>9369</v>
      </c>
      <c r="B2523" t="s">
        <v>9373</v>
      </c>
      <c r="D2523" t="s">
        <v>9374</v>
      </c>
      <c r="F2523" t="s">
        <v>9375</v>
      </c>
      <c r="G2523" t="s">
        <v>9372</v>
      </c>
      <c r="H2523" t="str">
        <f>"01432 355 366"</f>
        <v>01432 355 366</v>
      </c>
    </row>
    <row r="2524" spans="1:8">
      <c r="A2524" t="s">
        <v>9376</v>
      </c>
      <c r="B2524" t="s">
        <v>9377</v>
      </c>
      <c r="D2524" t="s">
        <v>7594</v>
      </c>
      <c r="E2524" t="s">
        <v>990</v>
      </c>
      <c r="F2524" t="s">
        <v>9378</v>
      </c>
      <c r="G2524" t="s">
        <v>9379</v>
      </c>
      <c r="H2524" t="str">
        <f>"01296432541"</f>
        <v>01296432541</v>
      </c>
    </row>
    <row r="2525" spans="1:8">
      <c r="A2525" t="s">
        <v>9376</v>
      </c>
      <c r="B2525" t="s">
        <v>9380</v>
      </c>
      <c r="D2525" t="s">
        <v>57</v>
      </c>
      <c r="E2525" t="s">
        <v>435</v>
      </c>
      <c r="F2525" t="s">
        <v>9381</v>
      </c>
      <c r="G2525" t="s">
        <v>9379</v>
      </c>
      <c r="H2525" t="str">
        <f>"02079250303"</f>
        <v>02079250303</v>
      </c>
    </row>
    <row r="2526" spans="1:8">
      <c r="A2526" t="s">
        <v>9376</v>
      </c>
      <c r="B2526" t="s">
        <v>9382</v>
      </c>
      <c r="C2526" t="s">
        <v>9383</v>
      </c>
      <c r="D2526" t="s">
        <v>207</v>
      </c>
      <c r="E2526" t="s">
        <v>200</v>
      </c>
      <c r="F2526" t="s">
        <v>9384</v>
      </c>
      <c r="G2526" t="s">
        <v>9379</v>
      </c>
      <c r="H2526" t="str">
        <f>"01252713242"</f>
        <v>01252713242</v>
      </c>
    </row>
    <row r="2527" spans="1:8">
      <c r="A2527" t="s">
        <v>9376</v>
      </c>
      <c r="B2527" t="s">
        <v>9385</v>
      </c>
      <c r="D2527" t="s">
        <v>747</v>
      </c>
      <c r="E2527" t="s">
        <v>153</v>
      </c>
      <c r="F2527" t="s">
        <v>9386</v>
      </c>
      <c r="G2527" t="s">
        <v>9379</v>
      </c>
      <c r="H2527" t="str">
        <f>"01628621301"</f>
        <v>01628621301</v>
      </c>
    </row>
    <row r="2528" spans="1:8">
      <c r="A2528" t="s">
        <v>9376</v>
      </c>
      <c r="B2528" t="s">
        <v>9387</v>
      </c>
      <c r="C2528" t="s">
        <v>9388</v>
      </c>
      <c r="D2528" t="s">
        <v>1874</v>
      </c>
      <c r="E2528" t="s">
        <v>153</v>
      </c>
      <c r="F2528" t="s">
        <v>9389</v>
      </c>
      <c r="G2528" t="s">
        <v>9379</v>
      </c>
      <c r="H2528" t="str">
        <f>"01753532541"</f>
        <v>01753532541</v>
      </c>
    </row>
    <row r="2529" spans="1:8">
      <c r="A2529" t="s">
        <v>9376</v>
      </c>
      <c r="B2529" t="s">
        <v>9390</v>
      </c>
      <c r="C2529" t="s">
        <v>9391</v>
      </c>
      <c r="D2529" t="s">
        <v>4994</v>
      </c>
      <c r="E2529" t="s">
        <v>990</v>
      </c>
      <c r="F2529" t="s">
        <v>9392</v>
      </c>
      <c r="G2529" t="s">
        <v>9379</v>
      </c>
      <c r="H2529" t="str">
        <f>"01494535321"</f>
        <v>01494535321</v>
      </c>
    </row>
    <row r="2530" spans="1:8">
      <c r="A2530" t="s">
        <v>9393</v>
      </c>
      <c r="B2530" t="s">
        <v>9394</v>
      </c>
      <c r="D2530" t="s">
        <v>902</v>
      </c>
      <c r="F2530" t="s">
        <v>9395</v>
      </c>
      <c r="G2530" t="s">
        <v>9396</v>
      </c>
      <c r="H2530" t="str">
        <f>"01509 232611"</f>
        <v>01509 232611</v>
      </c>
    </row>
    <row r="2531" spans="1:8">
      <c r="A2531" t="s">
        <v>9397</v>
      </c>
      <c r="B2531" t="s">
        <v>9398</v>
      </c>
      <c r="D2531" t="s">
        <v>9399</v>
      </c>
      <c r="E2531" t="s">
        <v>1936</v>
      </c>
      <c r="F2531" t="s">
        <v>9400</v>
      </c>
      <c r="G2531" t="s">
        <v>9401</v>
      </c>
      <c r="H2531" t="str">
        <f>"01766512214"</f>
        <v>01766512214</v>
      </c>
    </row>
    <row r="2532" spans="1:8">
      <c r="A2532" t="s">
        <v>9397</v>
      </c>
      <c r="B2532" t="s">
        <v>9402</v>
      </c>
      <c r="D2532" t="s">
        <v>4352</v>
      </c>
      <c r="E2532" t="s">
        <v>1936</v>
      </c>
      <c r="F2532" t="s">
        <v>9403</v>
      </c>
      <c r="G2532" t="s">
        <v>9404</v>
      </c>
      <c r="H2532" t="str">
        <f>"01341 280317"</f>
        <v>01341 280317</v>
      </c>
    </row>
    <row r="2533" spans="1:8">
      <c r="A2533" t="s">
        <v>9397</v>
      </c>
      <c r="B2533" t="s">
        <v>9405</v>
      </c>
      <c r="D2533" t="s">
        <v>9406</v>
      </c>
      <c r="E2533" t="s">
        <v>1936</v>
      </c>
      <c r="F2533" t="s">
        <v>9407</v>
      </c>
      <c r="G2533" t="s">
        <v>9408</v>
      </c>
      <c r="H2533" t="str">
        <f>"01758 612362"</f>
        <v>01758 612362</v>
      </c>
    </row>
    <row r="2534" spans="1:8">
      <c r="A2534" t="s">
        <v>9409</v>
      </c>
      <c r="B2534" t="s">
        <v>9410</v>
      </c>
      <c r="D2534" t="s">
        <v>314</v>
      </c>
      <c r="E2534" t="s">
        <v>315</v>
      </c>
      <c r="F2534" t="s">
        <v>9411</v>
      </c>
      <c r="G2534" t="s">
        <v>9412</v>
      </c>
      <c r="H2534" t="str">
        <f>"01270 624225"</f>
        <v>01270 624225</v>
      </c>
    </row>
    <row r="2535" spans="1:8">
      <c r="A2535" t="s">
        <v>9409</v>
      </c>
      <c r="B2535" t="s">
        <v>254</v>
      </c>
      <c r="D2535" t="s">
        <v>9413</v>
      </c>
      <c r="E2535" t="s">
        <v>315</v>
      </c>
      <c r="F2535" t="s">
        <v>9414</v>
      </c>
      <c r="G2535" t="s">
        <v>9415</v>
      </c>
      <c r="H2535" t="str">
        <f>"01829 733338"</f>
        <v>01829 733338</v>
      </c>
    </row>
    <row r="2536" spans="1:8">
      <c r="A2536" t="s">
        <v>9409</v>
      </c>
      <c r="B2536" t="s">
        <v>9416</v>
      </c>
      <c r="D2536" t="s">
        <v>319</v>
      </c>
      <c r="E2536" t="s">
        <v>315</v>
      </c>
      <c r="F2536" t="s">
        <v>9417</v>
      </c>
      <c r="G2536" t="s">
        <v>9418</v>
      </c>
      <c r="H2536" t="str">
        <f>"01270 215117"</f>
        <v>01270 215117</v>
      </c>
    </row>
    <row r="2537" spans="1:8">
      <c r="A2537" t="s">
        <v>9419</v>
      </c>
      <c r="B2537" t="s">
        <v>9420</v>
      </c>
      <c r="D2537" t="s">
        <v>9421</v>
      </c>
      <c r="E2537" t="s">
        <v>340</v>
      </c>
      <c r="F2537" t="s">
        <v>9422</v>
      </c>
      <c r="G2537" t="s">
        <v>9423</v>
      </c>
      <c r="H2537" t="str">
        <f>"01914884950"</f>
        <v>01914884950</v>
      </c>
    </row>
    <row r="2538" spans="1:8">
      <c r="A2538" t="s">
        <v>9419</v>
      </c>
      <c r="B2538" t="s">
        <v>9424</v>
      </c>
      <c r="D2538" t="s">
        <v>9425</v>
      </c>
      <c r="E2538" t="s">
        <v>1463</v>
      </c>
      <c r="F2538" t="s">
        <v>9426</v>
      </c>
      <c r="G2538" t="s">
        <v>9427</v>
      </c>
      <c r="H2538" t="str">
        <f>"0191 4884950"</f>
        <v>0191 4884950</v>
      </c>
    </row>
    <row r="2539" spans="1:8">
      <c r="A2539" t="s">
        <v>9419</v>
      </c>
      <c r="B2539" t="s">
        <v>9429</v>
      </c>
      <c r="D2539" t="s">
        <v>9428</v>
      </c>
      <c r="F2539" t="s">
        <v>9430</v>
      </c>
      <c r="G2539" t="s">
        <v>9431</v>
      </c>
      <c r="H2539" t="str">
        <f>"0191 4884950"</f>
        <v>0191 4884950</v>
      </c>
    </row>
    <row r="2540" spans="1:8">
      <c r="A2540" t="s">
        <v>9432</v>
      </c>
      <c r="B2540" t="s">
        <v>9433</v>
      </c>
      <c r="D2540" t="s">
        <v>1553</v>
      </c>
      <c r="E2540" t="s">
        <v>164</v>
      </c>
      <c r="F2540" t="s">
        <v>9434</v>
      </c>
      <c r="G2540" t="s">
        <v>9435</v>
      </c>
      <c r="H2540" t="str">
        <f>"01202551863"</f>
        <v>01202551863</v>
      </c>
    </row>
    <row r="2541" spans="1:8">
      <c r="A2541" t="s">
        <v>9436</v>
      </c>
      <c r="B2541" t="s">
        <v>9437</v>
      </c>
      <c r="D2541" t="s">
        <v>3047</v>
      </c>
      <c r="E2541" t="s">
        <v>1412</v>
      </c>
      <c r="F2541" t="s">
        <v>9438</v>
      </c>
      <c r="G2541" t="s">
        <v>9439</v>
      </c>
      <c r="H2541" t="str">
        <f>"01394 277941"</f>
        <v>01394 277941</v>
      </c>
    </row>
    <row r="2542" spans="1:8">
      <c r="A2542" t="s">
        <v>9436</v>
      </c>
      <c r="B2542" t="s">
        <v>9440</v>
      </c>
      <c r="C2542" t="s">
        <v>1371</v>
      </c>
      <c r="D2542" t="s">
        <v>1372</v>
      </c>
      <c r="F2542" t="s">
        <v>9441</v>
      </c>
      <c r="G2542" t="s">
        <v>9442</v>
      </c>
      <c r="H2542" t="str">
        <f>"01394 334640"</f>
        <v>01394 334640</v>
      </c>
    </row>
    <row r="2543" spans="1:8">
      <c r="A2543" t="s">
        <v>9443</v>
      </c>
      <c r="B2543" t="s">
        <v>9444</v>
      </c>
      <c r="C2543" t="s">
        <v>9445</v>
      </c>
      <c r="D2543" t="s">
        <v>9446</v>
      </c>
      <c r="E2543" t="s">
        <v>4424</v>
      </c>
      <c r="F2543" t="s">
        <v>9447</v>
      </c>
      <c r="G2543" t="s">
        <v>9448</v>
      </c>
      <c r="H2543" t="str">
        <f>"01492 588200"</f>
        <v>01492 588200</v>
      </c>
    </row>
    <row r="2544" spans="1:8">
      <c r="A2544" t="s">
        <v>9449</v>
      </c>
      <c r="B2544" t="s">
        <v>9450</v>
      </c>
      <c r="D2544" t="s">
        <v>4005</v>
      </c>
      <c r="E2544" t="s">
        <v>9451</v>
      </c>
      <c r="F2544" t="s">
        <v>9452</v>
      </c>
      <c r="G2544" t="s">
        <v>9453</v>
      </c>
      <c r="H2544" t="str">
        <f>"01922720333"</f>
        <v>01922720333</v>
      </c>
    </row>
    <row r="2545" spans="1:8">
      <c r="A2545" t="s">
        <v>9449</v>
      </c>
      <c r="B2545" t="s">
        <v>9454</v>
      </c>
      <c r="D2545" t="s">
        <v>4542</v>
      </c>
      <c r="E2545" t="s">
        <v>16</v>
      </c>
      <c r="F2545" t="s">
        <v>9455</v>
      </c>
      <c r="G2545" t="s">
        <v>9453</v>
      </c>
      <c r="H2545" t="str">
        <f>"0121 355 2336"</f>
        <v>0121 355 2336</v>
      </c>
    </row>
    <row r="2546" spans="1:8">
      <c r="A2546" t="s">
        <v>9449</v>
      </c>
      <c r="B2546" t="s">
        <v>9456</v>
      </c>
      <c r="C2546" t="s">
        <v>9457</v>
      </c>
      <c r="D2546" t="s">
        <v>4630</v>
      </c>
      <c r="F2546" t="s">
        <v>9458</v>
      </c>
      <c r="G2546" t="s">
        <v>9453</v>
      </c>
      <c r="H2546" t="str">
        <f>"01543 466941"</f>
        <v>01543 466941</v>
      </c>
    </row>
    <row r="2547" spans="1:8">
      <c r="A2547" t="s">
        <v>9459</v>
      </c>
      <c r="B2547" t="s">
        <v>9460</v>
      </c>
      <c r="D2547" t="s">
        <v>9461</v>
      </c>
      <c r="E2547" t="s">
        <v>132</v>
      </c>
      <c r="F2547" t="s">
        <v>6610</v>
      </c>
      <c r="G2547" t="s">
        <v>9462</v>
      </c>
      <c r="H2547" t="str">
        <f>"01942 671166"</f>
        <v>01942 671166</v>
      </c>
    </row>
    <row r="2548" spans="1:8">
      <c r="A2548" t="s">
        <v>9463</v>
      </c>
      <c r="B2548" t="s">
        <v>9464</v>
      </c>
      <c r="C2548" t="s">
        <v>9465</v>
      </c>
      <c r="D2548" t="s">
        <v>9466</v>
      </c>
      <c r="E2548" t="s">
        <v>9467</v>
      </c>
      <c r="F2548" t="s">
        <v>7413</v>
      </c>
      <c r="G2548" t="s">
        <v>9468</v>
      </c>
      <c r="H2548" t="str">
        <f>"0345 313 2767"</f>
        <v>0345 313 2767</v>
      </c>
    </row>
    <row r="2549" spans="1:8">
      <c r="A2549" t="s">
        <v>9463</v>
      </c>
      <c r="B2549" t="s">
        <v>9469</v>
      </c>
      <c r="C2549" t="s">
        <v>9470</v>
      </c>
      <c r="D2549" t="s">
        <v>9471</v>
      </c>
      <c r="E2549" t="s">
        <v>280</v>
      </c>
      <c r="F2549" t="s">
        <v>9472</v>
      </c>
      <c r="G2549" t="s">
        <v>9468</v>
      </c>
      <c r="H2549" t="str">
        <f>"0345 313 2767"</f>
        <v>0345 313 2767</v>
      </c>
    </row>
    <row r="2550" spans="1:8">
      <c r="A2550" t="s">
        <v>9463</v>
      </c>
      <c r="B2550" t="s">
        <v>9473</v>
      </c>
      <c r="C2550" t="s">
        <v>9474</v>
      </c>
      <c r="D2550" t="s">
        <v>3514</v>
      </c>
      <c r="F2550" t="s">
        <v>9475</v>
      </c>
      <c r="G2550" t="s">
        <v>9468</v>
      </c>
      <c r="H2550" t="str">
        <f>"0345 313 2767"</f>
        <v>0345 313 2767</v>
      </c>
    </row>
    <row r="2551" spans="1:8">
      <c r="A2551" t="s">
        <v>9476</v>
      </c>
      <c r="B2551" t="s">
        <v>9477</v>
      </c>
      <c r="D2551" t="s">
        <v>88</v>
      </c>
      <c r="E2551" t="s">
        <v>520</v>
      </c>
      <c r="F2551" t="s">
        <v>9478</v>
      </c>
      <c r="G2551" t="s">
        <v>9479</v>
      </c>
      <c r="H2551" t="str">
        <f>"01323 407555"</f>
        <v>01323 407555</v>
      </c>
    </row>
    <row r="2552" spans="1:8">
      <c r="A2552" t="s">
        <v>9476</v>
      </c>
      <c r="B2552" t="s">
        <v>9480</v>
      </c>
      <c r="D2552" t="s">
        <v>76</v>
      </c>
      <c r="E2552" t="s">
        <v>520</v>
      </c>
      <c r="F2552" t="s">
        <v>9481</v>
      </c>
      <c r="G2552" t="s">
        <v>9479</v>
      </c>
      <c r="H2552" t="str">
        <f>"01273 069920"</f>
        <v>01273 069920</v>
      </c>
    </row>
    <row r="2553" spans="1:8">
      <c r="A2553" t="s">
        <v>9476</v>
      </c>
      <c r="B2553" t="s">
        <v>9482</v>
      </c>
      <c r="D2553" t="s">
        <v>4163</v>
      </c>
      <c r="F2553" t="s">
        <v>9483</v>
      </c>
      <c r="G2553" t="s">
        <v>9479</v>
      </c>
      <c r="H2553" t="str">
        <f>"01424 709050"</f>
        <v>01424 709050</v>
      </c>
    </row>
    <row r="2554" spans="1:8">
      <c r="A2554" t="s">
        <v>9476</v>
      </c>
      <c r="B2554" t="s">
        <v>9484</v>
      </c>
      <c r="C2554" t="s">
        <v>9485</v>
      </c>
      <c r="D2554" t="s">
        <v>5948</v>
      </c>
      <c r="F2554" t="s">
        <v>9486</v>
      </c>
      <c r="G2554" t="s">
        <v>9479</v>
      </c>
      <c r="H2554" t="str">
        <f>"01229 389044 "</f>
        <v xml:space="preserve">01229 389044 </v>
      </c>
    </row>
    <row r="2555" spans="1:8">
      <c r="A2555" t="s">
        <v>9476</v>
      </c>
      <c r="B2555" t="s">
        <v>9487</v>
      </c>
      <c r="D2555" t="s">
        <v>57</v>
      </c>
      <c r="F2555" t="s">
        <v>5806</v>
      </c>
      <c r="G2555" t="s">
        <v>9479</v>
      </c>
      <c r="H2555" t="str">
        <f>"0203 967 7700"</f>
        <v>0203 967 7700</v>
      </c>
    </row>
    <row r="2556" spans="1:8">
      <c r="A2556" t="s">
        <v>9476</v>
      </c>
      <c r="B2556" t="s">
        <v>9488</v>
      </c>
      <c r="C2556" t="s">
        <v>9489</v>
      </c>
      <c r="D2556" t="s">
        <v>9490</v>
      </c>
      <c r="F2556" t="s">
        <v>9491</v>
      </c>
      <c r="G2556" t="s">
        <v>9492</v>
      </c>
      <c r="H2556" t="str">
        <f>"01225 267153"</f>
        <v>01225 267153</v>
      </c>
    </row>
    <row r="2557" spans="1:8">
      <c r="A2557" t="s">
        <v>9493</v>
      </c>
      <c r="B2557" t="s">
        <v>9494</v>
      </c>
      <c r="D2557" t="s">
        <v>1054</v>
      </c>
      <c r="E2557" t="s">
        <v>1069</v>
      </c>
      <c r="F2557" t="s">
        <v>9495</v>
      </c>
      <c r="G2557" t="s">
        <v>9496</v>
      </c>
      <c r="H2557" t="str">
        <f>"01792643296"</f>
        <v>01792643296</v>
      </c>
    </row>
    <row r="2558" spans="1:8">
      <c r="A2558" t="s">
        <v>9497</v>
      </c>
      <c r="B2558" t="s">
        <v>9498</v>
      </c>
      <c r="D2558" t="s">
        <v>5194</v>
      </c>
      <c r="E2558" t="s">
        <v>11</v>
      </c>
      <c r="F2558" t="s">
        <v>9499</v>
      </c>
      <c r="G2558" t="s">
        <v>9500</v>
      </c>
      <c r="H2558" t="str">
        <f>"01684 892000"</f>
        <v>01684 892000</v>
      </c>
    </row>
    <row r="2559" spans="1:8">
      <c r="A2559" t="s">
        <v>9497</v>
      </c>
      <c r="B2559" t="s">
        <v>9501</v>
      </c>
      <c r="D2559" t="s">
        <v>4892</v>
      </c>
      <c r="F2559" t="s">
        <v>4893</v>
      </c>
      <c r="G2559" t="s">
        <v>9500</v>
      </c>
      <c r="H2559" t="str">
        <f>"01531 826373"</f>
        <v>01531 826373</v>
      </c>
    </row>
    <row r="2560" spans="1:8">
      <c r="A2560" t="s">
        <v>9497</v>
      </c>
      <c r="B2560" t="s">
        <v>9502</v>
      </c>
      <c r="D2560" t="s">
        <v>94</v>
      </c>
      <c r="E2560" t="s">
        <v>11</v>
      </c>
      <c r="F2560" t="s">
        <v>9503</v>
      </c>
      <c r="G2560" t="s">
        <v>9500</v>
      </c>
      <c r="H2560" t="str">
        <f>"01527 395584"</f>
        <v>01527 395584</v>
      </c>
    </row>
    <row r="2561" spans="1:8">
      <c r="A2561" t="s">
        <v>9504</v>
      </c>
      <c r="B2561" t="s">
        <v>9505</v>
      </c>
      <c r="D2561" t="s">
        <v>207</v>
      </c>
      <c r="E2561" t="s">
        <v>200</v>
      </c>
      <c r="F2561" t="s">
        <v>2105</v>
      </c>
      <c r="G2561" t="s">
        <v>9506</v>
      </c>
      <c r="H2561" t="str">
        <f>"01252730760"</f>
        <v>01252730760</v>
      </c>
    </row>
    <row r="2562" spans="1:8">
      <c r="A2562" t="s">
        <v>9507</v>
      </c>
      <c r="B2562" t="s">
        <v>9508</v>
      </c>
      <c r="C2562" t="s">
        <v>819</v>
      </c>
      <c r="D2562" t="s">
        <v>297</v>
      </c>
      <c r="E2562" t="s">
        <v>132</v>
      </c>
      <c r="F2562" t="s">
        <v>9509</v>
      </c>
      <c r="G2562" t="s">
        <v>9510</v>
      </c>
      <c r="H2562" t="str">
        <f>"0161 773 8626"</f>
        <v>0161 773 8626</v>
      </c>
    </row>
    <row r="2563" spans="1:8">
      <c r="A2563" t="s">
        <v>9511</v>
      </c>
      <c r="B2563" t="s">
        <v>9512</v>
      </c>
      <c r="D2563" t="s">
        <v>217</v>
      </c>
      <c r="F2563" t="s">
        <v>9513</v>
      </c>
      <c r="G2563" t="s">
        <v>9514</v>
      </c>
      <c r="H2563" t="str">
        <f>"0207 242 1666"</f>
        <v>0207 242 1666</v>
      </c>
    </row>
    <row r="2564" spans="1:8">
      <c r="A2564" t="s">
        <v>9511</v>
      </c>
      <c r="B2564" t="s">
        <v>9515</v>
      </c>
      <c r="C2564" t="s">
        <v>5146</v>
      </c>
      <c r="D2564" t="s">
        <v>57</v>
      </c>
      <c r="E2564" t="s">
        <v>736</v>
      </c>
      <c r="F2564" t="s">
        <v>9516</v>
      </c>
      <c r="G2564" t="s">
        <v>9514</v>
      </c>
      <c r="H2564" t="str">
        <f>"0203 301 6666"</f>
        <v>0203 301 6666</v>
      </c>
    </row>
    <row r="2565" spans="1:8">
      <c r="A2565" t="s">
        <v>9511</v>
      </c>
      <c r="B2565" t="s">
        <v>9518</v>
      </c>
      <c r="D2565" t="s">
        <v>9517</v>
      </c>
      <c r="E2565" t="s">
        <v>57</v>
      </c>
      <c r="F2565" t="s">
        <v>9519</v>
      </c>
      <c r="G2565" t="s">
        <v>9514</v>
      </c>
      <c r="H2565" t="str">
        <f>"0203 089 7966"</f>
        <v>0203 089 7966</v>
      </c>
    </row>
    <row r="2566" spans="1:8">
      <c r="A2566" t="s">
        <v>9520</v>
      </c>
      <c r="B2566" t="s">
        <v>9521</v>
      </c>
      <c r="D2566" t="s">
        <v>9522</v>
      </c>
      <c r="E2566" t="s">
        <v>502</v>
      </c>
      <c r="F2566" t="s">
        <v>9523</v>
      </c>
      <c r="G2566" t="s">
        <v>9524</v>
      </c>
      <c r="H2566" t="str">
        <f>"0345 373 2035"</f>
        <v>0345 373 2035</v>
      </c>
    </row>
    <row r="2567" spans="1:8">
      <c r="A2567" t="s">
        <v>9525</v>
      </c>
      <c r="B2567" t="s">
        <v>9526</v>
      </c>
      <c r="D2567" t="s">
        <v>1616</v>
      </c>
      <c r="F2567" t="s">
        <v>9527</v>
      </c>
      <c r="G2567" t="s">
        <v>9528</v>
      </c>
      <c r="H2567" t="str">
        <f>"01633 262848"</f>
        <v>01633 262848</v>
      </c>
    </row>
    <row r="2568" spans="1:8">
      <c r="A2568" t="s">
        <v>9529</v>
      </c>
      <c r="B2568" t="s">
        <v>9530</v>
      </c>
      <c r="D2568" t="s">
        <v>1132</v>
      </c>
      <c r="E2568" t="s">
        <v>464</v>
      </c>
      <c r="F2568" t="s">
        <v>9531</v>
      </c>
      <c r="G2568" t="s">
        <v>9532</v>
      </c>
      <c r="H2568" t="str">
        <f>"01278456621"</f>
        <v>01278456621</v>
      </c>
    </row>
    <row r="2569" spans="1:8">
      <c r="A2569" t="s">
        <v>9533</v>
      </c>
      <c r="B2569" t="s">
        <v>9534</v>
      </c>
      <c r="D2569" t="s">
        <v>3959</v>
      </c>
      <c r="E2569" t="s">
        <v>236</v>
      </c>
      <c r="F2569" t="s">
        <v>7930</v>
      </c>
      <c r="G2569" t="s">
        <v>9535</v>
      </c>
      <c r="H2569" t="str">
        <f>"01543420000"</f>
        <v>01543420000</v>
      </c>
    </row>
    <row r="2570" spans="1:8">
      <c r="A2570" t="s">
        <v>9536</v>
      </c>
      <c r="B2570" t="s">
        <v>9537</v>
      </c>
      <c r="D2570" t="s">
        <v>2928</v>
      </c>
      <c r="E2570" t="s">
        <v>703</v>
      </c>
      <c r="F2570" t="s">
        <v>9538</v>
      </c>
      <c r="G2570" t="s">
        <v>9539</v>
      </c>
      <c r="H2570" t="str">
        <f>"01722410664"</f>
        <v>01722410664</v>
      </c>
    </row>
    <row r="2571" spans="1:8">
      <c r="A2571" t="s">
        <v>9536</v>
      </c>
      <c r="B2571" t="s">
        <v>9540</v>
      </c>
      <c r="D2571" t="s">
        <v>2928</v>
      </c>
      <c r="E2571" t="s">
        <v>703</v>
      </c>
      <c r="F2571" t="s">
        <v>9541</v>
      </c>
      <c r="G2571" t="s">
        <v>9542</v>
      </c>
      <c r="H2571" t="str">
        <f>"01722 410664"</f>
        <v>01722 410664</v>
      </c>
    </row>
    <row r="2572" spans="1:8">
      <c r="A2572" t="s">
        <v>9543</v>
      </c>
      <c r="B2572" t="s">
        <v>9544</v>
      </c>
      <c r="D2572" t="s">
        <v>57</v>
      </c>
      <c r="F2572" t="s">
        <v>9545</v>
      </c>
      <c r="G2572" t="s">
        <v>9546</v>
      </c>
      <c r="H2572" t="str">
        <f>"020 7597 6000"</f>
        <v>020 7597 6000</v>
      </c>
    </row>
    <row r="2573" spans="1:8">
      <c r="A2573" t="s">
        <v>9547</v>
      </c>
      <c r="B2573" t="s">
        <v>9548</v>
      </c>
      <c r="C2573" t="s">
        <v>9549</v>
      </c>
      <c r="D2573" t="s">
        <v>4287</v>
      </c>
      <c r="E2573" t="s">
        <v>9550</v>
      </c>
      <c r="F2573" t="s">
        <v>9551</v>
      </c>
      <c r="G2573" t="s">
        <v>9552</v>
      </c>
      <c r="H2573" t="str">
        <f>"01162187572"</f>
        <v>01162187572</v>
      </c>
    </row>
    <row r="2574" spans="1:8">
      <c r="A2574" t="s">
        <v>9553</v>
      </c>
      <c r="B2574" t="s">
        <v>9554</v>
      </c>
      <c r="C2574" t="s">
        <v>9555</v>
      </c>
      <c r="D2574" t="s">
        <v>5002</v>
      </c>
      <c r="E2574" t="s">
        <v>742</v>
      </c>
      <c r="F2574" t="s">
        <v>9556</v>
      </c>
      <c r="G2574" t="s">
        <v>9557</v>
      </c>
      <c r="H2574" t="str">
        <f>"01553 660033"</f>
        <v>01553 660033</v>
      </c>
    </row>
    <row r="2575" spans="1:8">
      <c r="A2575" t="s">
        <v>9553</v>
      </c>
      <c r="B2575" t="s">
        <v>9559</v>
      </c>
      <c r="C2575" t="s">
        <v>9560</v>
      </c>
      <c r="D2575" t="s">
        <v>9558</v>
      </c>
      <c r="E2575" t="s">
        <v>742</v>
      </c>
      <c r="F2575" t="s">
        <v>9561</v>
      </c>
      <c r="G2575" t="s">
        <v>9557</v>
      </c>
      <c r="H2575" t="str">
        <f>"01485 571366"</f>
        <v>01485 571366</v>
      </c>
    </row>
    <row r="2576" spans="1:8">
      <c r="A2576" t="s">
        <v>9553</v>
      </c>
      <c r="B2576" t="s">
        <v>9562</v>
      </c>
      <c r="D2576" t="s">
        <v>954</v>
      </c>
      <c r="E2576" t="s">
        <v>369</v>
      </c>
      <c r="F2576" t="s">
        <v>9563</v>
      </c>
      <c r="G2576" t="s">
        <v>9557</v>
      </c>
      <c r="H2576" t="str">
        <f>"01353 662203"</f>
        <v>01353 662203</v>
      </c>
    </row>
    <row r="2577" spans="1:8">
      <c r="A2577" t="s">
        <v>9553</v>
      </c>
      <c r="B2577" t="s">
        <v>9565</v>
      </c>
      <c r="D2577" t="s">
        <v>9564</v>
      </c>
      <c r="E2577" t="s">
        <v>742</v>
      </c>
      <c r="F2577" t="s">
        <v>9566</v>
      </c>
      <c r="G2577" t="s">
        <v>9557</v>
      </c>
      <c r="H2577" t="str">
        <f>"01760 721992"</f>
        <v>01760 721992</v>
      </c>
    </row>
    <row r="2578" spans="1:8">
      <c r="A2578" t="s">
        <v>9553</v>
      </c>
      <c r="B2578" t="s">
        <v>9567</v>
      </c>
      <c r="D2578" t="s">
        <v>7998</v>
      </c>
      <c r="E2578" t="s">
        <v>742</v>
      </c>
      <c r="F2578" t="s">
        <v>9568</v>
      </c>
      <c r="G2578" t="s">
        <v>9557</v>
      </c>
      <c r="H2578" t="str">
        <f>"01362 692182"</f>
        <v>01362 692182</v>
      </c>
    </row>
    <row r="2579" spans="1:8">
      <c r="A2579" t="s">
        <v>9553</v>
      </c>
      <c r="B2579" t="s">
        <v>9570</v>
      </c>
      <c r="D2579" t="s">
        <v>9569</v>
      </c>
      <c r="E2579" t="s">
        <v>369</v>
      </c>
      <c r="F2579" t="s">
        <v>9571</v>
      </c>
      <c r="G2579" t="s">
        <v>9557</v>
      </c>
      <c r="H2579" t="str">
        <f>"01354 692607"</f>
        <v>01354 692607</v>
      </c>
    </row>
    <row r="2580" spans="1:8">
      <c r="A2580" t="s">
        <v>9553</v>
      </c>
      <c r="B2580" t="s">
        <v>9572</v>
      </c>
      <c r="D2580" t="s">
        <v>942</v>
      </c>
      <c r="F2580" t="s">
        <v>9573</v>
      </c>
      <c r="G2580" t="s">
        <v>9557</v>
      </c>
      <c r="H2580" t="str">
        <f>"01366 321431"</f>
        <v>01366 321431</v>
      </c>
    </row>
    <row r="2581" spans="1:8">
      <c r="A2581" t="s">
        <v>9574</v>
      </c>
      <c r="B2581" t="s">
        <v>9575</v>
      </c>
      <c r="C2581" t="s">
        <v>9576</v>
      </c>
      <c r="D2581" t="s">
        <v>104</v>
      </c>
      <c r="E2581" t="s">
        <v>106</v>
      </c>
      <c r="F2581" t="s">
        <v>9577</v>
      </c>
      <c r="G2581" t="s">
        <v>9578</v>
      </c>
      <c r="H2581" t="str">
        <f>"01952272222"</f>
        <v>01952272222</v>
      </c>
    </row>
    <row r="2582" spans="1:8">
      <c r="A2582" t="s">
        <v>9574</v>
      </c>
      <c r="B2582" t="s">
        <v>36</v>
      </c>
      <c r="C2582" t="s">
        <v>9579</v>
      </c>
      <c r="D2582" t="s">
        <v>1111</v>
      </c>
      <c r="E2582" t="s">
        <v>16</v>
      </c>
      <c r="F2582" t="s">
        <v>9580</v>
      </c>
      <c r="G2582" t="s">
        <v>9581</v>
      </c>
      <c r="H2582" t="str">
        <f>"01902 966111"</f>
        <v>01902 966111</v>
      </c>
    </row>
    <row r="2583" spans="1:8">
      <c r="A2583" t="s">
        <v>9574</v>
      </c>
      <c r="B2583" t="s">
        <v>9582</v>
      </c>
      <c r="D2583" t="s">
        <v>1103</v>
      </c>
      <c r="E2583" t="s">
        <v>106</v>
      </c>
      <c r="F2583" t="s">
        <v>9583</v>
      </c>
      <c r="G2583" t="s">
        <v>9578</v>
      </c>
      <c r="H2583" t="str">
        <f>"01743 295412"</f>
        <v>01743 295412</v>
      </c>
    </row>
    <row r="2584" spans="1:8">
      <c r="A2584" t="s">
        <v>9574</v>
      </c>
      <c r="B2584" t="s">
        <v>9584</v>
      </c>
      <c r="C2584" t="s">
        <v>9585</v>
      </c>
      <c r="D2584" t="s">
        <v>9586</v>
      </c>
      <c r="F2584" t="s">
        <v>9587</v>
      </c>
      <c r="G2584" t="s">
        <v>9581</v>
      </c>
      <c r="H2584" t="str">
        <f>"01939 550430"</f>
        <v>01939 550430</v>
      </c>
    </row>
    <row r="2585" spans="1:8">
      <c r="A2585" t="s">
        <v>9588</v>
      </c>
      <c r="B2585" t="s">
        <v>9589</v>
      </c>
      <c r="D2585" t="s">
        <v>1024</v>
      </c>
      <c r="F2585" t="s">
        <v>9590</v>
      </c>
      <c r="G2585" t="s">
        <v>9591</v>
      </c>
      <c r="H2585" t="str">
        <f>"0114 2727955"</f>
        <v>0114 2727955</v>
      </c>
    </row>
    <row r="2586" spans="1:8">
      <c r="A2586" t="s">
        <v>9588</v>
      </c>
      <c r="B2586" t="s">
        <v>9592</v>
      </c>
      <c r="D2586" t="s">
        <v>9593</v>
      </c>
      <c r="F2586" t="s">
        <v>9594</v>
      </c>
      <c r="G2586" t="s">
        <v>9591</v>
      </c>
      <c r="H2586" t="str">
        <f>"01518324977"</f>
        <v>01518324977</v>
      </c>
    </row>
    <row r="2587" spans="1:8">
      <c r="A2587" t="s">
        <v>9588</v>
      </c>
      <c r="B2587" t="s">
        <v>9595</v>
      </c>
      <c r="C2587" t="s">
        <v>2809</v>
      </c>
      <c r="D2587" t="s">
        <v>2710</v>
      </c>
      <c r="F2587" t="s">
        <v>9596</v>
      </c>
      <c r="G2587" t="s">
        <v>9597</v>
      </c>
      <c r="H2587" t="str">
        <f>"0151 305 6070"</f>
        <v>0151 305 6070</v>
      </c>
    </row>
    <row r="2588" spans="1:8">
      <c r="A2588" t="s">
        <v>9588</v>
      </c>
      <c r="B2588" t="s">
        <v>9598</v>
      </c>
      <c r="C2588" t="s">
        <v>4123</v>
      </c>
      <c r="D2588" t="s">
        <v>3407</v>
      </c>
      <c r="F2588" t="s">
        <v>9599</v>
      </c>
      <c r="G2588" t="s">
        <v>9591</v>
      </c>
      <c r="H2588" t="str">
        <f>"0161 537 9799"</f>
        <v>0161 537 9799</v>
      </c>
    </row>
    <row r="2589" spans="1:8">
      <c r="A2589" t="s">
        <v>9600</v>
      </c>
      <c r="B2589" t="s">
        <v>9601</v>
      </c>
      <c r="C2589" t="s">
        <v>9602</v>
      </c>
      <c r="D2589" t="s">
        <v>9603</v>
      </c>
      <c r="F2589" t="s">
        <v>9604</v>
      </c>
      <c r="G2589" t="s">
        <v>9605</v>
      </c>
      <c r="H2589" t="str">
        <f>"01457761320"</f>
        <v>01457761320</v>
      </c>
    </row>
    <row r="2590" spans="1:8">
      <c r="A2590" t="s">
        <v>9600</v>
      </c>
      <c r="B2590" t="s">
        <v>9606</v>
      </c>
      <c r="C2590" t="s">
        <v>9603</v>
      </c>
      <c r="D2590" t="s">
        <v>2494</v>
      </c>
      <c r="E2590" t="s">
        <v>132</v>
      </c>
      <c r="F2590" t="s">
        <v>9607</v>
      </c>
      <c r="G2590" t="s">
        <v>9605</v>
      </c>
      <c r="H2590" t="str">
        <f>"01457761320"</f>
        <v>01457761320</v>
      </c>
    </row>
    <row r="2591" spans="1:8">
      <c r="A2591" t="s">
        <v>9600</v>
      </c>
      <c r="B2591" t="s">
        <v>9608</v>
      </c>
      <c r="C2591" t="s">
        <v>9609</v>
      </c>
      <c r="D2591" t="s">
        <v>9603</v>
      </c>
      <c r="E2591" t="s">
        <v>2494</v>
      </c>
      <c r="F2591" t="s">
        <v>9610</v>
      </c>
      <c r="G2591" t="s">
        <v>9605</v>
      </c>
      <c r="H2591" t="str">
        <f>"01457761320"</f>
        <v>01457761320</v>
      </c>
    </row>
    <row r="2592" spans="1:8">
      <c r="A2592" t="s">
        <v>9611</v>
      </c>
      <c r="B2592" t="s">
        <v>9612</v>
      </c>
      <c r="D2592" t="s">
        <v>9613</v>
      </c>
      <c r="E2592" t="s">
        <v>309</v>
      </c>
      <c r="F2592" t="s">
        <v>9614</v>
      </c>
      <c r="G2592" t="s">
        <v>9615</v>
      </c>
      <c r="H2592" t="str">
        <f>"01803 522700"</f>
        <v>01803 522700</v>
      </c>
    </row>
    <row r="2593" spans="1:8">
      <c r="A2593" t="s">
        <v>9616</v>
      </c>
      <c r="B2593" t="s">
        <v>9617</v>
      </c>
      <c r="D2593" t="s">
        <v>5460</v>
      </c>
      <c r="E2593" t="s">
        <v>1180</v>
      </c>
      <c r="F2593" t="s">
        <v>9618</v>
      </c>
      <c r="G2593" t="s">
        <v>9619</v>
      </c>
      <c r="H2593" t="str">
        <f>"01536 276300"</f>
        <v>01536 276300</v>
      </c>
    </row>
    <row r="2594" spans="1:8">
      <c r="A2594" t="s">
        <v>9616</v>
      </c>
      <c r="B2594" t="s">
        <v>9620</v>
      </c>
      <c r="D2594" t="s">
        <v>1194</v>
      </c>
      <c r="E2594" t="s">
        <v>1180</v>
      </c>
      <c r="F2594" t="s">
        <v>9621</v>
      </c>
      <c r="G2594" t="s">
        <v>9622</v>
      </c>
      <c r="H2594" t="str">
        <f>"01536 311690"</f>
        <v>01536 311690</v>
      </c>
    </row>
    <row r="2595" spans="1:8">
      <c r="A2595" t="s">
        <v>9623</v>
      </c>
      <c r="B2595" t="s">
        <v>9624</v>
      </c>
      <c r="C2595" t="s">
        <v>42</v>
      </c>
      <c r="D2595" t="s">
        <v>9625</v>
      </c>
      <c r="E2595" t="s">
        <v>990</v>
      </c>
      <c r="F2595" t="s">
        <v>9626</v>
      </c>
      <c r="G2595" t="s">
        <v>9627</v>
      </c>
      <c r="H2595" t="str">
        <f>"01280815538"</f>
        <v>01280815538</v>
      </c>
    </row>
    <row r="2596" spans="1:8">
      <c r="A2596" t="s">
        <v>9623</v>
      </c>
      <c r="B2596" t="s">
        <v>9628</v>
      </c>
      <c r="C2596" t="s">
        <v>4806</v>
      </c>
      <c r="E2596" t="s">
        <v>1180</v>
      </c>
      <c r="F2596" t="s">
        <v>9629</v>
      </c>
      <c r="G2596" t="s">
        <v>9630</v>
      </c>
      <c r="H2596" t="str">
        <f>"01280 709426"</f>
        <v>01280 709426</v>
      </c>
    </row>
    <row r="2597" spans="1:8">
      <c r="A2597" t="s">
        <v>9623</v>
      </c>
      <c r="B2597" t="s">
        <v>9631</v>
      </c>
      <c r="C2597" t="s">
        <v>9632</v>
      </c>
      <c r="D2597" t="s">
        <v>9633</v>
      </c>
      <c r="E2597" t="s">
        <v>1202</v>
      </c>
      <c r="F2597" t="s">
        <v>9634</v>
      </c>
      <c r="G2597" t="s">
        <v>9635</v>
      </c>
      <c r="H2597" t="str">
        <f>"01604 800500"</f>
        <v>01604 800500</v>
      </c>
    </row>
    <row r="2598" spans="1:8">
      <c r="A2598" t="s">
        <v>9636</v>
      </c>
      <c r="B2598" t="s">
        <v>9637</v>
      </c>
      <c r="C2598" t="s">
        <v>9638</v>
      </c>
      <c r="D2598" t="s">
        <v>303</v>
      </c>
      <c r="F2598" t="s">
        <v>9639</v>
      </c>
      <c r="G2598" t="s">
        <v>9640</v>
      </c>
      <c r="H2598" t="str">
        <f>"02920 361771"</f>
        <v>02920 361771</v>
      </c>
    </row>
    <row r="2599" spans="1:8">
      <c r="A2599" t="s">
        <v>9641</v>
      </c>
      <c r="B2599" t="s">
        <v>9642</v>
      </c>
      <c r="D2599" t="s">
        <v>874</v>
      </c>
      <c r="E2599" t="s">
        <v>435</v>
      </c>
      <c r="F2599" t="s">
        <v>9643</v>
      </c>
      <c r="G2599" t="s">
        <v>9644</v>
      </c>
      <c r="H2599" t="str">
        <f>"02039074409"</f>
        <v>02039074409</v>
      </c>
    </row>
    <row r="2600" spans="1:8">
      <c r="A2600" t="s">
        <v>9645</v>
      </c>
      <c r="B2600" t="s">
        <v>9646</v>
      </c>
      <c r="D2600" t="s">
        <v>3245</v>
      </c>
      <c r="E2600" t="s">
        <v>775</v>
      </c>
      <c r="F2600" t="s">
        <v>9647</v>
      </c>
      <c r="G2600" t="s">
        <v>9648</v>
      </c>
      <c r="H2600" t="str">
        <f>"01530 412167"</f>
        <v>01530 412167</v>
      </c>
    </row>
    <row r="2601" spans="1:8">
      <c r="A2601" t="s">
        <v>9649</v>
      </c>
      <c r="B2601" t="s">
        <v>9650</v>
      </c>
      <c r="D2601" t="s">
        <v>1062</v>
      </c>
      <c r="E2601" t="s">
        <v>1069</v>
      </c>
      <c r="F2601" t="s">
        <v>9651</v>
      </c>
      <c r="G2601" t="s">
        <v>9652</v>
      </c>
      <c r="H2601" t="str">
        <f>"01639645061"</f>
        <v>01639645061</v>
      </c>
    </row>
    <row r="2602" spans="1:8">
      <c r="A2602" t="s">
        <v>9649</v>
      </c>
      <c r="B2602" t="s">
        <v>9653</v>
      </c>
      <c r="D2602" t="s">
        <v>1054</v>
      </c>
      <c r="F2602" t="s">
        <v>9654</v>
      </c>
      <c r="G2602" t="s">
        <v>9655</v>
      </c>
      <c r="H2602" t="str">
        <f>"01792 439000"</f>
        <v>01792 439000</v>
      </c>
    </row>
    <row r="2603" spans="1:8">
      <c r="A2603" t="s">
        <v>9656</v>
      </c>
      <c r="B2603" t="s">
        <v>9657</v>
      </c>
      <c r="D2603" t="s">
        <v>9658</v>
      </c>
      <c r="E2603" t="s">
        <v>1033</v>
      </c>
      <c r="F2603" t="s">
        <v>9659</v>
      </c>
      <c r="G2603" t="s">
        <v>9660</v>
      </c>
      <c r="H2603" t="str">
        <f>"01159305070"</f>
        <v>01159305070</v>
      </c>
    </row>
    <row r="2604" spans="1:8">
      <c r="A2604" t="s">
        <v>9656</v>
      </c>
      <c r="B2604" t="s">
        <v>9661</v>
      </c>
      <c r="C2604" t="s">
        <v>9662</v>
      </c>
      <c r="D2604" t="s">
        <v>409</v>
      </c>
      <c r="E2604" t="s">
        <v>410</v>
      </c>
      <c r="F2604" t="s">
        <v>9663</v>
      </c>
      <c r="G2604" t="s">
        <v>9660</v>
      </c>
      <c r="H2604" t="str">
        <f>"01773535535"</f>
        <v>01773535535</v>
      </c>
    </row>
    <row r="2605" spans="1:8">
      <c r="A2605" t="s">
        <v>9664</v>
      </c>
      <c r="B2605" t="s">
        <v>9665</v>
      </c>
      <c r="D2605" t="s">
        <v>256</v>
      </c>
      <c r="E2605" t="s">
        <v>1352</v>
      </c>
      <c r="F2605" t="s">
        <v>9666</v>
      </c>
      <c r="G2605" t="s">
        <v>9667</v>
      </c>
      <c r="H2605" t="str">
        <f>"01642 252555"</f>
        <v>01642 252555</v>
      </c>
    </row>
    <row r="2606" spans="1:8">
      <c r="A2606" t="s">
        <v>9664</v>
      </c>
      <c r="B2606" t="s">
        <v>9669</v>
      </c>
      <c r="D2606" t="s">
        <v>9668</v>
      </c>
      <c r="E2606" t="s">
        <v>1352</v>
      </c>
      <c r="F2606" t="s">
        <v>9670</v>
      </c>
      <c r="G2606" t="s">
        <v>9667</v>
      </c>
      <c r="H2606" t="str">
        <f>"01287635151"</f>
        <v>01287635151</v>
      </c>
    </row>
    <row r="2607" spans="1:8">
      <c r="A2607" t="s">
        <v>9664</v>
      </c>
      <c r="B2607" t="s">
        <v>9671</v>
      </c>
      <c r="C2607" t="s">
        <v>9672</v>
      </c>
      <c r="D2607" t="s">
        <v>4478</v>
      </c>
      <c r="F2607" t="s">
        <v>9673</v>
      </c>
      <c r="G2607" t="s">
        <v>9674</v>
      </c>
      <c r="H2607" t="str">
        <f>"01429743300"</f>
        <v>01429743300</v>
      </c>
    </row>
    <row r="2608" spans="1:8">
      <c r="A2608" t="s">
        <v>9664</v>
      </c>
      <c r="B2608" t="s">
        <v>9675</v>
      </c>
      <c r="C2608" t="s">
        <v>9676</v>
      </c>
      <c r="D2608" t="s">
        <v>3531</v>
      </c>
      <c r="E2608" t="s">
        <v>256</v>
      </c>
      <c r="F2608" t="s">
        <v>9677</v>
      </c>
      <c r="G2608" t="s">
        <v>9667</v>
      </c>
      <c r="H2608" t="str">
        <f>"01642 712132"</f>
        <v>01642 712132</v>
      </c>
    </row>
    <row r="2609" spans="1:8">
      <c r="A2609" t="s">
        <v>9678</v>
      </c>
      <c r="B2609" t="s">
        <v>9679</v>
      </c>
      <c r="D2609" t="s">
        <v>766</v>
      </c>
      <c r="E2609" t="s">
        <v>132</v>
      </c>
      <c r="F2609" t="s">
        <v>9680</v>
      </c>
      <c r="G2609" t="s">
        <v>9681</v>
      </c>
      <c r="H2609" t="str">
        <f>"01204 386214"</f>
        <v>01204 386214</v>
      </c>
    </row>
    <row r="2610" spans="1:8">
      <c r="A2610" t="s">
        <v>9678</v>
      </c>
      <c r="B2610" t="s">
        <v>9682</v>
      </c>
      <c r="D2610" t="s">
        <v>4753</v>
      </c>
      <c r="E2610" t="s">
        <v>766</v>
      </c>
      <c r="F2610" t="s">
        <v>9683</v>
      </c>
      <c r="G2610" t="s">
        <v>9681</v>
      </c>
      <c r="H2610" t="str">
        <f>"01204 704090"</f>
        <v>01204 704090</v>
      </c>
    </row>
    <row r="2611" spans="1:8">
      <c r="A2611" t="s">
        <v>9684</v>
      </c>
      <c r="B2611" t="s">
        <v>9685</v>
      </c>
      <c r="C2611" t="s">
        <v>9686</v>
      </c>
      <c r="D2611" t="s">
        <v>1426</v>
      </c>
      <c r="E2611" t="s">
        <v>3490</v>
      </c>
      <c r="F2611" t="s">
        <v>9687</v>
      </c>
      <c r="G2611" t="s">
        <v>9688</v>
      </c>
      <c r="H2611" t="str">
        <f>"01482848101"</f>
        <v>01482848101</v>
      </c>
    </row>
    <row r="2612" spans="1:8">
      <c r="A2612" t="s">
        <v>9684</v>
      </c>
      <c r="B2612" t="s">
        <v>9689</v>
      </c>
      <c r="D2612" t="s">
        <v>8925</v>
      </c>
      <c r="E2612" t="s">
        <v>1427</v>
      </c>
      <c r="F2612" t="s">
        <v>9690</v>
      </c>
      <c r="G2612" t="s">
        <v>9688</v>
      </c>
      <c r="H2612" t="str">
        <f>"01482 848101"</f>
        <v>01482 848101</v>
      </c>
    </row>
    <row r="2613" spans="1:8">
      <c r="A2613" t="s">
        <v>9684</v>
      </c>
      <c r="B2613" t="s">
        <v>9691</v>
      </c>
      <c r="D2613" t="s">
        <v>1426</v>
      </c>
      <c r="F2613" t="s">
        <v>1428</v>
      </c>
      <c r="G2613" t="s">
        <v>9688</v>
      </c>
      <c r="H2613" t="str">
        <f>"01482 848101"</f>
        <v>01482 848101</v>
      </c>
    </row>
    <row r="2614" spans="1:8">
      <c r="A2614" t="s">
        <v>9684</v>
      </c>
      <c r="B2614" t="s">
        <v>9692</v>
      </c>
      <c r="D2614" t="s">
        <v>1426</v>
      </c>
      <c r="F2614" t="s">
        <v>9693</v>
      </c>
      <c r="G2614" t="s">
        <v>9688</v>
      </c>
      <c r="H2614" t="str">
        <f>"01482 896052"</f>
        <v>01482 896052</v>
      </c>
    </row>
    <row r="2615" spans="1:8">
      <c r="A2615" t="s">
        <v>9694</v>
      </c>
      <c r="B2615" t="s">
        <v>9695</v>
      </c>
      <c r="C2615" t="s">
        <v>9696</v>
      </c>
      <c r="D2615" t="s">
        <v>2178</v>
      </c>
      <c r="E2615" t="s">
        <v>340</v>
      </c>
      <c r="F2615" t="s">
        <v>9697</v>
      </c>
      <c r="G2615" t="s">
        <v>9698</v>
      </c>
      <c r="H2615" t="str">
        <f>"0191 2328345"</f>
        <v>0191 2328345</v>
      </c>
    </row>
    <row r="2616" spans="1:8">
      <c r="A2616" t="s">
        <v>9699</v>
      </c>
      <c r="B2616" t="s">
        <v>9700</v>
      </c>
      <c r="D2616" t="s">
        <v>57</v>
      </c>
      <c r="E2616" t="s">
        <v>57</v>
      </c>
      <c r="F2616" t="s">
        <v>9701</v>
      </c>
      <c r="G2616" t="s">
        <v>9702</v>
      </c>
      <c r="H2616" t="str">
        <f>"0203 1466300"</f>
        <v>0203 1466300</v>
      </c>
    </row>
    <row r="2617" spans="1:8">
      <c r="A2617" t="s">
        <v>9699</v>
      </c>
      <c r="B2617" t="s">
        <v>9703</v>
      </c>
      <c r="D2617" t="s">
        <v>57</v>
      </c>
      <c r="F2617" t="s">
        <v>9704</v>
      </c>
      <c r="G2617" t="s">
        <v>9705</v>
      </c>
      <c r="H2617" t="str">
        <f>"020 3146 6300"</f>
        <v>020 3146 6300</v>
      </c>
    </row>
    <row r="2618" spans="1:8">
      <c r="A2618" t="s">
        <v>9706</v>
      </c>
      <c r="B2618" t="s">
        <v>9707</v>
      </c>
      <c r="D2618" t="s">
        <v>9708</v>
      </c>
      <c r="E2618" t="s">
        <v>200</v>
      </c>
      <c r="F2618" t="s">
        <v>9709</v>
      </c>
      <c r="G2618" t="s">
        <v>9710</v>
      </c>
      <c r="H2618" t="str">
        <f>"020 8390 0185"</f>
        <v>020 8390 0185</v>
      </c>
    </row>
    <row r="2619" spans="1:8">
      <c r="A2619" t="s">
        <v>9711</v>
      </c>
      <c r="B2619" t="s">
        <v>9712</v>
      </c>
      <c r="D2619" t="s">
        <v>9713</v>
      </c>
      <c r="E2619" t="s">
        <v>736</v>
      </c>
      <c r="F2619" t="s">
        <v>9714</v>
      </c>
      <c r="G2619" t="s">
        <v>9715</v>
      </c>
      <c r="H2619" t="str">
        <f>"01708229444"</f>
        <v>01708229444</v>
      </c>
    </row>
    <row r="2620" spans="1:8">
      <c r="A2620" t="s">
        <v>9711</v>
      </c>
      <c r="B2620" t="s">
        <v>9716</v>
      </c>
      <c r="D2620" t="s">
        <v>5943</v>
      </c>
      <c r="E2620" t="s">
        <v>736</v>
      </c>
      <c r="F2620" t="s">
        <v>9717</v>
      </c>
      <c r="G2620" t="s">
        <v>9715</v>
      </c>
      <c r="H2620" t="str">
        <f>"01708 511000"</f>
        <v>01708 511000</v>
      </c>
    </row>
    <row r="2621" spans="1:8">
      <c r="A2621" t="s">
        <v>9711</v>
      </c>
      <c r="B2621" t="s">
        <v>9718</v>
      </c>
      <c r="D2621" t="s">
        <v>8360</v>
      </c>
      <c r="F2621" t="s">
        <v>9719</v>
      </c>
      <c r="G2621" t="s">
        <v>9720</v>
      </c>
      <c r="H2621" t="str">
        <f>"01277 283 707"</f>
        <v>01277 283 707</v>
      </c>
    </row>
    <row r="2622" spans="1:8">
      <c r="A2622" t="s">
        <v>9711</v>
      </c>
      <c r="B2622" t="s">
        <v>9721</v>
      </c>
      <c r="D2622" t="s">
        <v>8360</v>
      </c>
      <c r="E2622" t="s">
        <v>736</v>
      </c>
      <c r="F2622" t="s">
        <v>9722</v>
      </c>
      <c r="G2622" t="s">
        <v>9715</v>
      </c>
      <c r="H2622" t="str">
        <f>"01277 211 755"</f>
        <v>01277 211 755</v>
      </c>
    </row>
    <row r="2623" spans="1:8">
      <c r="A2623" t="s">
        <v>9723</v>
      </c>
      <c r="B2623" t="s">
        <v>9724</v>
      </c>
      <c r="C2623" t="s">
        <v>9725</v>
      </c>
      <c r="D2623" t="s">
        <v>6285</v>
      </c>
      <c r="F2623" t="s">
        <v>389</v>
      </c>
      <c r="G2623" t="s">
        <v>9726</v>
      </c>
      <c r="H2623" t="str">
        <f>"03304609635"</f>
        <v>03304609635</v>
      </c>
    </row>
    <row r="2624" spans="1:8">
      <c r="A2624" t="s">
        <v>9723</v>
      </c>
      <c r="B2624" t="s">
        <v>8087</v>
      </c>
      <c r="C2624" t="s">
        <v>9727</v>
      </c>
      <c r="D2624" t="s">
        <v>61</v>
      </c>
      <c r="F2624" t="s">
        <v>8088</v>
      </c>
      <c r="G2624" t="s">
        <v>9726</v>
      </c>
      <c r="H2624" t="str">
        <f>"03304609635"</f>
        <v>03304609635</v>
      </c>
    </row>
    <row r="2625" spans="1:8">
      <c r="A2625" t="s">
        <v>9728</v>
      </c>
      <c r="B2625" t="s">
        <v>9729</v>
      </c>
      <c r="D2625" t="s">
        <v>9155</v>
      </c>
      <c r="E2625" t="s">
        <v>132</v>
      </c>
      <c r="F2625" t="s">
        <v>9730</v>
      </c>
      <c r="G2625" t="s">
        <v>9731</v>
      </c>
      <c r="H2625" t="str">
        <f>"01706 623513"</f>
        <v>01706 623513</v>
      </c>
    </row>
    <row r="2626" spans="1:8">
      <c r="A2626" t="s">
        <v>9732</v>
      </c>
      <c r="B2626" t="s">
        <v>9733</v>
      </c>
      <c r="D2626" t="s">
        <v>6171</v>
      </c>
      <c r="F2626" t="s">
        <v>9734</v>
      </c>
      <c r="G2626" t="s">
        <v>9735</v>
      </c>
      <c r="H2626" t="str">
        <f>"01619751900"</f>
        <v>01619751900</v>
      </c>
    </row>
    <row r="2627" spans="1:8">
      <c r="A2627" t="s">
        <v>9732</v>
      </c>
      <c r="B2627" t="s">
        <v>9737</v>
      </c>
      <c r="D2627" t="s">
        <v>9736</v>
      </c>
      <c r="E2627" t="s">
        <v>315</v>
      </c>
      <c r="F2627" t="s">
        <v>9738</v>
      </c>
      <c r="G2627" t="s">
        <v>9735</v>
      </c>
      <c r="H2627" t="str">
        <f>"0161 975 1900"</f>
        <v>0161 975 1900</v>
      </c>
    </row>
    <row r="2628" spans="1:8">
      <c r="A2628" t="s">
        <v>9739</v>
      </c>
      <c r="B2628" t="s">
        <v>9740</v>
      </c>
      <c r="D2628" t="s">
        <v>57</v>
      </c>
      <c r="F2628" t="s">
        <v>9741</v>
      </c>
      <c r="G2628" t="s">
        <v>9742</v>
      </c>
      <c r="H2628" t="str">
        <f>"02072537781"</f>
        <v>02072537781</v>
      </c>
    </row>
    <row r="2629" spans="1:8">
      <c r="A2629" t="s">
        <v>9739</v>
      </c>
      <c r="B2629" t="s">
        <v>9743</v>
      </c>
      <c r="D2629" t="s">
        <v>57</v>
      </c>
      <c r="F2629" t="s">
        <v>9744</v>
      </c>
      <c r="G2629" t="s">
        <v>9742</v>
      </c>
      <c r="H2629" t="str">
        <f>"0207 2537781"</f>
        <v>0207 2537781</v>
      </c>
    </row>
    <row r="2630" spans="1:8">
      <c r="A2630" t="s">
        <v>9739</v>
      </c>
      <c r="B2630" t="s">
        <v>9745</v>
      </c>
      <c r="D2630" t="s">
        <v>57</v>
      </c>
      <c r="F2630" t="s">
        <v>9746</v>
      </c>
      <c r="G2630" t="s">
        <v>9742</v>
      </c>
      <c r="H2630" t="str">
        <f>"0207 253 7781"</f>
        <v>0207 253 7781</v>
      </c>
    </row>
    <row r="2631" spans="1:8">
      <c r="A2631" t="s">
        <v>9747</v>
      </c>
      <c r="B2631" t="s">
        <v>2379</v>
      </c>
      <c r="D2631" t="s">
        <v>146</v>
      </c>
      <c r="E2631" t="s">
        <v>280</v>
      </c>
      <c r="F2631" t="s">
        <v>9748</v>
      </c>
      <c r="G2631" t="s">
        <v>9749</v>
      </c>
      <c r="H2631" t="str">
        <f>"01924461236"</f>
        <v>01924461236</v>
      </c>
    </row>
    <row r="2632" spans="1:8">
      <c r="A2632" t="s">
        <v>9750</v>
      </c>
      <c r="B2632" t="s">
        <v>9751</v>
      </c>
      <c r="D2632" t="s">
        <v>774</v>
      </c>
      <c r="E2632" t="s">
        <v>775</v>
      </c>
      <c r="F2632" t="s">
        <v>9752</v>
      </c>
      <c r="G2632" t="s">
        <v>9753</v>
      </c>
      <c r="H2632" t="str">
        <f>"01162470022"</f>
        <v>01162470022</v>
      </c>
    </row>
    <row r="2633" spans="1:8">
      <c r="A2633" t="s">
        <v>9754</v>
      </c>
      <c r="B2633" t="s">
        <v>9755</v>
      </c>
      <c r="C2633" t="s">
        <v>9756</v>
      </c>
      <c r="D2633" t="s">
        <v>372</v>
      </c>
      <c r="E2633" t="s">
        <v>292</v>
      </c>
      <c r="F2633" t="s">
        <v>9757</v>
      </c>
      <c r="G2633" t="s">
        <v>9758</v>
      </c>
      <c r="H2633" t="str">
        <f>"03332417675"</f>
        <v>03332417675</v>
      </c>
    </row>
    <row r="2634" spans="1:8">
      <c r="A2634" t="s">
        <v>9759</v>
      </c>
      <c r="B2634" t="s">
        <v>9760</v>
      </c>
      <c r="D2634" t="s">
        <v>1443</v>
      </c>
      <c r="E2634" t="s">
        <v>736</v>
      </c>
      <c r="F2634" t="s">
        <v>9761</v>
      </c>
      <c r="G2634" t="s">
        <v>9762</v>
      </c>
      <c r="H2634" t="str">
        <f>"01245 893400"</f>
        <v>01245 893400</v>
      </c>
    </row>
    <row r="2635" spans="1:8">
      <c r="A2635" t="s">
        <v>9763</v>
      </c>
      <c r="B2635" t="s">
        <v>9764</v>
      </c>
      <c r="D2635" t="s">
        <v>770</v>
      </c>
      <c r="E2635" t="s">
        <v>132</v>
      </c>
      <c r="F2635" t="s">
        <v>9765</v>
      </c>
      <c r="G2635" t="s">
        <v>9766</v>
      </c>
      <c r="H2635" t="str">
        <f>"01617645266"</f>
        <v>01617645266</v>
      </c>
    </row>
    <row r="2636" spans="1:8">
      <c r="A2636" t="s">
        <v>9763</v>
      </c>
      <c r="B2636" t="s">
        <v>9767</v>
      </c>
      <c r="C2636" t="s">
        <v>9768</v>
      </c>
      <c r="D2636" t="s">
        <v>766</v>
      </c>
      <c r="E2636" t="s">
        <v>2112</v>
      </c>
      <c r="F2636" t="s">
        <v>9769</v>
      </c>
      <c r="G2636" t="s">
        <v>9766</v>
      </c>
      <c r="H2636" t="str">
        <f>"01204 709959"</f>
        <v>01204 709959</v>
      </c>
    </row>
    <row r="2637" spans="1:8">
      <c r="A2637" t="s">
        <v>9770</v>
      </c>
      <c r="B2637" t="s">
        <v>9771</v>
      </c>
      <c r="D2637" t="s">
        <v>9772</v>
      </c>
      <c r="E2637" t="s">
        <v>369</v>
      </c>
      <c r="F2637" t="s">
        <v>9773</v>
      </c>
      <c r="G2637" t="s">
        <v>9774</v>
      </c>
      <c r="H2637" t="str">
        <f>"01733 203873"</f>
        <v>01733 203873</v>
      </c>
    </row>
    <row r="2638" spans="1:8">
      <c r="A2638" t="s">
        <v>9770</v>
      </c>
      <c r="B2638" t="s">
        <v>3539</v>
      </c>
      <c r="C2638" t="s">
        <v>9775</v>
      </c>
      <c r="D2638" t="s">
        <v>9776</v>
      </c>
      <c r="F2638" t="s">
        <v>9777</v>
      </c>
      <c r="G2638" t="s">
        <v>9778</v>
      </c>
      <c r="H2638" t="str">
        <f>"01733 203873"</f>
        <v>01733 203873</v>
      </c>
    </row>
    <row r="2639" spans="1:8">
      <c r="A2639" t="s">
        <v>9779</v>
      </c>
      <c r="B2639" t="s">
        <v>9780</v>
      </c>
      <c r="D2639" t="s">
        <v>7244</v>
      </c>
      <c r="E2639" t="s">
        <v>16</v>
      </c>
      <c r="F2639" t="s">
        <v>9781</v>
      </c>
      <c r="G2639" t="s">
        <v>9782</v>
      </c>
      <c r="H2639" t="str">
        <f>"01384 371622"</f>
        <v>01384 371622</v>
      </c>
    </row>
    <row r="2640" spans="1:8">
      <c r="A2640" t="s">
        <v>9783</v>
      </c>
      <c r="B2640" t="s">
        <v>9784</v>
      </c>
      <c r="D2640" t="s">
        <v>57</v>
      </c>
      <c r="F2640" t="s">
        <v>9785</v>
      </c>
      <c r="G2640" t="s">
        <v>9786</v>
      </c>
      <c r="H2640" t="str">
        <f>"0203 813 8450"</f>
        <v>0203 813 8450</v>
      </c>
    </row>
    <row r="2641" spans="1:8">
      <c r="A2641" t="s">
        <v>9783</v>
      </c>
      <c r="B2641" t="s">
        <v>9787</v>
      </c>
      <c r="C2641" t="s">
        <v>9788</v>
      </c>
      <c r="D2641" t="s">
        <v>3190</v>
      </c>
      <c r="E2641" t="s">
        <v>184</v>
      </c>
      <c r="F2641" t="s">
        <v>9789</v>
      </c>
      <c r="G2641" t="s">
        <v>9790</v>
      </c>
      <c r="H2641" t="str">
        <f>"01992 350170"</f>
        <v>01992 350170</v>
      </c>
    </row>
    <row r="2642" spans="1:8">
      <c r="A2642" t="s">
        <v>9791</v>
      </c>
      <c r="B2642" t="s">
        <v>9792</v>
      </c>
      <c r="C2642" t="s">
        <v>9793</v>
      </c>
      <c r="D2642" t="s">
        <v>4238</v>
      </c>
      <c r="E2642" t="s">
        <v>1458</v>
      </c>
      <c r="F2642" t="s">
        <v>9794</v>
      </c>
      <c r="G2642" t="s">
        <v>9795</v>
      </c>
      <c r="H2642" t="str">
        <f>"01915623464"</f>
        <v>01915623464</v>
      </c>
    </row>
    <row r="2643" spans="1:8">
      <c r="A2643" t="s">
        <v>9796</v>
      </c>
      <c r="B2643" t="s">
        <v>9797</v>
      </c>
      <c r="D2643" t="s">
        <v>6790</v>
      </c>
      <c r="E2643" t="s">
        <v>990</v>
      </c>
      <c r="F2643" t="s">
        <v>9798</v>
      </c>
      <c r="G2643" t="s">
        <v>9799</v>
      </c>
      <c r="H2643" t="str">
        <f>"01494 578041"</f>
        <v>01494 578041</v>
      </c>
    </row>
    <row r="2644" spans="1:8">
      <c r="A2644" t="s">
        <v>9800</v>
      </c>
      <c r="B2644" t="s">
        <v>9801</v>
      </c>
      <c r="D2644" t="s">
        <v>2494</v>
      </c>
      <c r="E2644" t="s">
        <v>2112</v>
      </c>
      <c r="F2644" t="s">
        <v>6671</v>
      </c>
      <c r="G2644" t="s">
        <v>9802</v>
      </c>
      <c r="H2644" t="str">
        <f>"01616787996"</f>
        <v>01616787996</v>
      </c>
    </row>
    <row r="2645" spans="1:8">
      <c r="A2645" t="s">
        <v>9803</v>
      </c>
      <c r="B2645" t="s">
        <v>9804</v>
      </c>
      <c r="C2645" t="s">
        <v>9805</v>
      </c>
      <c r="D2645" t="s">
        <v>2772</v>
      </c>
      <c r="E2645" t="s">
        <v>132</v>
      </c>
      <c r="F2645" t="s">
        <v>8569</v>
      </c>
      <c r="G2645" t="s">
        <v>9806</v>
      </c>
      <c r="H2645" t="str">
        <f>"01254 297130"</f>
        <v>01254 297130</v>
      </c>
    </row>
    <row r="2646" spans="1:8">
      <c r="A2646" t="s">
        <v>9803</v>
      </c>
      <c r="B2646" t="s">
        <v>9807</v>
      </c>
      <c r="D2646" t="s">
        <v>2772</v>
      </c>
      <c r="E2646" t="s">
        <v>132</v>
      </c>
      <c r="F2646" t="s">
        <v>9808</v>
      </c>
      <c r="G2646" t="s">
        <v>9806</v>
      </c>
      <c r="H2646" t="str">
        <f>"01254 297130"</f>
        <v>01254 297130</v>
      </c>
    </row>
    <row r="2647" spans="1:8">
      <c r="A2647" t="s">
        <v>9803</v>
      </c>
      <c r="B2647" t="s">
        <v>9809</v>
      </c>
      <c r="D2647" t="s">
        <v>6171</v>
      </c>
      <c r="E2647" t="s">
        <v>132</v>
      </c>
      <c r="F2647" t="s">
        <v>9810</v>
      </c>
      <c r="G2647" t="s">
        <v>9806</v>
      </c>
      <c r="H2647" t="str">
        <f>"0161 248 5898"</f>
        <v>0161 248 5898</v>
      </c>
    </row>
    <row r="2648" spans="1:8">
      <c r="A2648" t="s">
        <v>9811</v>
      </c>
      <c r="B2648" t="s">
        <v>9812</v>
      </c>
      <c r="C2648" t="s">
        <v>9813</v>
      </c>
      <c r="D2648" t="s">
        <v>9814</v>
      </c>
      <c r="F2648" t="s">
        <v>9815</v>
      </c>
      <c r="G2648" t="s">
        <v>9816</v>
      </c>
      <c r="H2648" t="str">
        <f>"01794389002"</f>
        <v>01794389002</v>
      </c>
    </row>
    <row r="2649" spans="1:8">
      <c r="A2649" t="s">
        <v>9817</v>
      </c>
      <c r="B2649" t="s">
        <v>9818</v>
      </c>
      <c r="D2649" t="s">
        <v>9819</v>
      </c>
      <c r="E2649" t="s">
        <v>3374</v>
      </c>
      <c r="F2649" t="s">
        <v>9820</v>
      </c>
      <c r="G2649" t="s">
        <v>9821</v>
      </c>
      <c r="H2649" t="str">
        <f>"01384 340516"</f>
        <v>01384 340516</v>
      </c>
    </row>
    <row r="2650" spans="1:8">
      <c r="A2650" t="s">
        <v>9817</v>
      </c>
      <c r="B2650" t="s">
        <v>9822</v>
      </c>
      <c r="C2650" t="s">
        <v>9823</v>
      </c>
      <c r="D2650" t="s">
        <v>4542</v>
      </c>
      <c r="F2650" t="s">
        <v>9824</v>
      </c>
      <c r="G2650" t="s">
        <v>9821</v>
      </c>
      <c r="H2650" t="str">
        <f>"0121 269 5850"</f>
        <v>0121 269 5850</v>
      </c>
    </row>
    <row r="2651" spans="1:8">
      <c r="A2651" t="s">
        <v>9817</v>
      </c>
      <c r="B2651" t="s">
        <v>9825</v>
      </c>
      <c r="D2651" t="s">
        <v>1111</v>
      </c>
      <c r="E2651" t="s">
        <v>16</v>
      </c>
      <c r="F2651" t="s">
        <v>9826</v>
      </c>
      <c r="G2651" t="s">
        <v>9821</v>
      </c>
      <c r="H2651" t="str">
        <f>"01902 424927"</f>
        <v>01902 424927</v>
      </c>
    </row>
    <row r="2652" spans="1:8">
      <c r="A2652" t="s">
        <v>9827</v>
      </c>
      <c r="B2652" t="s">
        <v>9828</v>
      </c>
      <c r="D2652" t="s">
        <v>4128</v>
      </c>
      <c r="E2652" t="s">
        <v>200</v>
      </c>
      <c r="F2652" t="s">
        <v>9829</v>
      </c>
      <c r="G2652" t="s">
        <v>9830</v>
      </c>
      <c r="H2652" t="str">
        <f>"02031372598"</f>
        <v>02031372598</v>
      </c>
    </row>
    <row r="2653" spans="1:8">
      <c r="A2653" t="s">
        <v>9827</v>
      </c>
      <c r="B2653" t="s">
        <v>9831</v>
      </c>
      <c r="D2653" t="s">
        <v>590</v>
      </c>
      <c r="E2653" t="s">
        <v>200</v>
      </c>
      <c r="F2653" t="s">
        <v>9832</v>
      </c>
      <c r="G2653" t="s">
        <v>9833</v>
      </c>
      <c r="H2653" t="str">
        <f>"02031 372298"</f>
        <v>02031 372298</v>
      </c>
    </row>
    <row r="2654" spans="1:8">
      <c r="A2654" t="s">
        <v>9834</v>
      </c>
      <c r="B2654" t="s">
        <v>9835</v>
      </c>
      <c r="C2654" t="s">
        <v>9836</v>
      </c>
      <c r="D2654" t="s">
        <v>4192</v>
      </c>
      <c r="F2654" t="s">
        <v>9837</v>
      </c>
      <c r="G2654" t="s">
        <v>9838</v>
      </c>
      <c r="H2654" t="str">
        <f>"017683 71495"</f>
        <v>017683 71495</v>
      </c>
    </row>
    <row r="2655" spans="1:8">
      <c r="A2655" t="s">
        <v>9839</v>
      </c>
      <c r="B2655" t="s">
        <v>1920</v>
      </c>
      <c r="D2655" t="s">
        <v>3792</v>
      </c>
      <c r="E2655" t="s">
        <v>616</v>
      </c>
      <c r="F2655" t="s">
        <v>9840</v>
      </c>
      <c r="G2655" t="s">
        <v>9841</v>
      </c>
      <c r="H2655" t="str">
        <f>"01969 622227"</f>
        <v>01969 622227</v>
      </c>
    </row>
    <row r="2656" spans="1:8">
      <c r="A2656" t="s">
        <v>9839</v>
      </c>
      <c r="B2656" t="s">
        <v>9842</v>
      </c>
      <c r="D2656" t="s">
        <v>874</v>
      </c>
      <c r="E2656" t="s">
        <v>616</v>
      </c>
      <c r="F2656" t="s">
        <v>9843</v>
      </c>
      <c r="G2656" t="s">
        <v>9841</v>
      </c>
      <c r="H2656" t="str">
        <f>"01748832431"</f>
        <v>01748832431</v>
      </c>
    </row>
    <row r="2657" spans="1:8">
      <c r="A2657" t="s">
        <v>9839</v>
      </c>
      <c r="B2657" t="s">
        <v>9844</v>
      </c>
      <c r="D2657" t="s">
        <v>3792</v>
      </c>
      <c r="F2657" t="s">
        <v>9845</v>
      </c>
      <c r="G2657" t="s">
        <v>9841</v>
      </c>
      <c r="H2657" t="str">
        <f>"01969 625 526"</f>
        <v>01969 625 526</v>
      </c>
    </row>
    <row r="2658" spans="1:8">
      <c r="A2658" t="s">
        <v>9839</v>
      </c>
      <c r="B2658" t="s">
        <v>9846</v>
      </c>
      <c r="D2658" t="s">
        <v>3787</v>
      </c>
      <c r="F2658" t="s">
        <v>9847</v>
      </c>
      <c r="G2658" t="s">
        <v>9841</v>
      </c>
      <c r="H2658" t="str">
        <f>"01969 667 171"</f>
        <v>01969 667 171</v>
      </c>
    </row>
    <row r="2659" spans="1:8">
      <c r="A2659" t="s">
        <v>9848</v>
      </c>
      <c r="B2659" t="s">
        <v>9849</v>
      </c>
      <c r="D2659" t="s">
        <v>7505</v>
      </c>
      <c r="E2659" t="s">
        <v>16</v>
      </c>
      <c r="F2659" t="s">
        <v>9850</v>
      </c>
      <c r="G2659" t="s">
        <v>9851</v>
      </c>
      <c r="H2659" t="str">
        <f>"0121 525 2555"</f>
        <v>0121 525 2555</v>
      </c>
    </row>
    <row r="2660" spans="1:8">
      <c r="A2660" t="s">
        <v>9848</v>
      </c>
      <c r="B2660" t="s">
        <v>9852</v>
      </c>
      <c r="D2660" t="s">
        <v>1111</v>
      </c>
      <c r="E2660" t="s">
        <v>16</v>
      </c>
      <c r="F2660" t="s">
        <v>9853</v>
      </c>
      <c r="G2660" t="s">
        <v>9851</v>
      </c>
      <c r="H2660" t="str">
        <f>"01902 659351"</f>
        <v>01902 659351</v>
      </c>
    </row>
    <row r="2661" spans="1:8">
      <c r="A2661" t="s">
        <v>9848</v>
      </c>
      <c r="B2661" t="s">
        <v>9854</v>
      </c>
      <c r="D2661" t="s">
        <v>368</v>
      </c>
      <c r="E2661" t="s">
        <v>369</v>
      </c>
      <c r="F2661" t="s">
        <v>9855</v>
      </c>
      <c r="G2661" t="s">
        <v>9851</v>
      </c>
      <c r="H2661" t="str">
        <f>"01733 703978"</f>
        <v>01733 703978</v>
      </c>
    </row>
    <row r="2662" spans="1:8">
      <c r="A2662" t="s">
        <v>9856</v>
      </c>
      <c r="B2662" t="s">
        <v>9857</v>
      </c>
      <c r="C2662" t="s">
        <v>9858</v>
      </c>
      <c r="D2662" t="s">
        <v>297</v>
      </c>
      <c r="E2662" t="s">
        <v>132</v>
      </c>
      <c r="F2662" t="s">
        <v>9859</v>
      </c>
      <c r="G2662" t="s">
        <v>9860</v>
      </c>
      <c r="H2662" t="str">
        <f>"01618208888"</f>
        <v>01618208888</v>
      </c>
    </row>
    <row r="2663" spans="1:8">
      <c r="A2663" t="s">
        <v>9861</v>
      </c>
      <c r="B2663" t="s">
        <v>9862</v>
      </c>
      <c r="C2663" t="s">
        <v>6640</v>
      </c>
      <c r="D2663" t="s">
        <v>3407</v>
      </c>
      <c r="E2663" t="s">
        <v>315</v>
      </c>
      <c r="F2663" t="s">
        <v>9863</v>
      </c>
      <c r="G2663" t="s">
        <v>9864</v>
      </c>
      <c r="H2663" t="str">
        <f>"01619 806046"</f>
        <v>01619 806046</v>
      </c>
    </row>
    <row r="2664" spans="1:8">
      <c r="A2664" t="s">
        <v>9865</v>
      </c>
      <c r="B2664" t="s">
        <v>9866</v>
      </c>
      <c r="C2664" t="s">
        <v>9867</v>
      </c>
      <c r="D2664" t="s">
        <v>9868</v>
      </c>
      <c r="E2664" t="s">
        <v>1007</v>
      </c>
      <c r="F2664" t="s">
        <v>9869</v>
      </c>
      <c r="G2664" t="s">
        <v>9870</v>
      </c>
      <c r="H2664" t="str">
        <f>"01686412166"</f>
        <v>01686412166</v>
      </c>
    </row>
    <row r="2665" spans="1:8">
      <c r="A2665" t="s">
        <v>9865</v>
      </c>
      <c r="B2665" t="s">
        <v>9872</v>
      </c>
      <c r="D2665" t="s">
        <v>9871</v>
      </c>
      <c r="E2665" t="s">
        <v>1007</v>
      </c>
      <c r="F2665" t="s">
        <v>9873</v>
      </c>
      <c r="G2665" t="s">
        <v>9870</v>
      </c>
      <c r="H2665" t="str">
        <f>"01597810533"</f>
        <v>01597810533</v>
      </c>
    </row>
    <row r="2666" spans="1:8">
      <c r="A2666" t="s">
        <v>9865</v>
      </c>
      <c r="B2666" t="s">
        <v>9875</v>
      </c>
      <c r="D2666" t="s">
        <v>9874</v>
      </c>
      <c r="F2666" t="s">
        <v>9876</v>
      </c>
      <c r="G2666" t="s">
        <v>9877</v>
      </c>
      <c r="H2666" t="str">
        <f>"01654 554000"</f>
        <v>01654 554000</v>
      </c>
    </row>
    <row r="2667" spans="1:8">
      <c r="A2667" t="s">
        <v>9878</v>
      </c>
      <c r="B2667" t="s">
        <v>9879</v>
      </c>
      <c r="D2667" t="s">
        <v>6434</v>
      </c>
      <c r="E2667" t="s">
        <v>760</v>
      </c>
      <c r="F2667" t="s">
        <v>8908</v>
      </c>
      <c r="G2667" t="s">
        <v>9880</v>
      </c>
      <c r="H2667" t="str">
        <f>"01865 514348"</f>
        <v>01865 514348</v>
      </c>
    </row>
    <row r="2668" spans="1:8">
      <c r="A2668" t="s">
        <v>9878</v>
      </c>
      <c r="B2668" t="s">
        <v>9881</v>
      </c>
      <c r="D2668" t="s">
        <v>6790</v>
      </c>
      <c r="E2668" t="s">
        <v>990</v>
      </c>
      <c r="F2668" t="s">
        <v>9882</v>
      </c>
      <c r="G2668" t="s">
        <v>9880</v>
      </c>
      <c r="H2668" t="str">
        <f>"01494 685588"</f>
        <v>01494 685588</v>
      </c>
    </row>
    <row r="2669" spans="1:8">
      <c r="A2669" t="s">
        <v>9878</v>
      </c>
      <c r="B2669" t="s">
        <v>9883</v>
      </c>
      <c r="D2669" t="s">
        <v>5572</v>
      </c>
      <c r="E2669" t="s">
        <v>990</v>
      </c>
      <c r="F2669" t="s">
        <v>9884</v>
      </c>
      <c r="G2669" t="s">
        <v>9880</v>
      </c>
      <c r="H2669" t="str">
        <f>"01753 482400"</f>
        <v>01753 482400</v>
      </c>
    </row>
    <row r="2670" spans="1:8">
      <c r="A2670" t="s">
        <v>9878</v>
      </c>
      <c r="B2670" t="s">
        <v>9885</v>
      </c>
      <c r="D2670" t="s">
        <v>158</v>
      </c>
      <c r="E2670" t="s">
        <v>53</v>
      </c>
      <c r="F2670" t="s">
        <v>9886</v>
      </c>
      <c r="G2670" t="s">
        <v>9880</v>
      </c>
      <c r="H2670" t="str">
        <f>"01242 256686"</f>
        <v>01242 256686</v>
      </c>
    </row>
    <row r="2671" spans="1:8">
      <c r="A2671" t="s">
        <v>9878</v>
      </c>
      <c r="B2671" t="s">
        <v>9887</v>
      </c>
      <c r="D2671" t="s">
        <v>7594</v>
      </c>
      <c r="F2671" t="s">
        <v>7600</v>
      </c>
      <c r="G2671" t="s">
        <v>9888</v>
      </c>
      <c r="H2671" t="str">
        <f>"01296 388266"</f>
        <v>01296 388266</v>
      </c>
    </row>
    <row r="2672" spans="1:8">
      <c r="A2672" t="s">
        <v>9878</v>
      </c>
      <c r="B2672" t="s">
        <v>9889</v>
      </c>
      <c r="C2672" t="s">
        <v>9890</v>
      </c>
      <c r="D2672" t="s">
        <v>383</v>
      </c>
      <c r="E2672" t="s">
        <v>703</v>
      </c>
      <c r="F2672" t="s">
        <v>9891</v>
      </c>
      <c r="G2672" t="s">
        <v>9888</v>
      </c>
      <c r="H2672" t="str">
        <f>"01793698027"</f>
        <v>01793698027</v>
      </c>
    </row>
    <row r="2673" spans="1:8">
      <c r="A2673" t="s">
        <v>9892</v>
      </c>
      <c r="B2673" t="s">
        <v>9893</v>
      </c>
      <c r="D2673" t="s">
        <v>9894</v>
      </c>
      <c r="E2673" t="s">
        <v>1487</v>
      </c>
      <c r="F2673" t="s">
        <v>9895</v>
      </c>
      <c r="G2673" t="s">
        <v>9896</v>
      </c>
      <c r="H2673" t="str">
        <f>"01388815317"</f>
        <v>01388815317</v>
      </c>
    </row>
    <row r="2674" spans="1:8">
      <c r="A2674" t="s">
        <v>9892</v>
      </c>
      <c r="B2674" t="s">
        <v>9897</v>
      </c>
      <c r="D2674" t="s">
        <v>250</v>
      </c>
      <c r="E2674" t="s">
        <v>1487</v>
      </c>
      <c r="F2674" t="s">
        <v>9898</v>
      </c>
      <c r="G2674" t="s">
        <v>9899</v>
      </c>
      <c r="H2674" t="str">
        <f>"01388 815317"</f>
        <v>01388 815317</v>
      </c>
    </row>
    <row r="2675" spans="1:8">
      <c r="A2675" t="s">
        <v>9900</v>
      </c>
      <c r="B2675" t="s">
        <v>9901</v>
      </c>
      <c r="D2675" t="s">
        <v>9902</v>
      </c>
      <c r="E2675" t="s">
        <v>11</v>
      </c>
      <c r="F2675" t="s">
        <v>9903</v>
      </c>
      <c r="G2675" t="s">
        <v>9904</v>
      </c>
      <c r="H2675" t="str">
        <f>"01905 900919"</f>
        <v>01905 900919</v>
      </c>
    </row>
    <row r="2676" spans="1:8">
      <c r="A2676" t="s">
        <v>9905</v>
      </c>
      <c r="B2676" t="s">
        <v>9906</v>
      </c>
      <c r="D2676" t="s">
        <v>57</v>
      </c>
      <c r="F2676" t="s">
        <v>9907</v>
      </c>
      <c r="G2676" t="s">
        <v>9908</v>
      </c>
      <c r="H2676" t="str">
        <f>"0203 176 4255"</f>
        <v>0203 176 4255</v>
      </c>
    </row>
    <row r="2677" spans="1:8">
      <c r="A2677" t="s">
        <v>9905</v>
      </c>
      <c r="B2677" t="s">
        <v>9909</v>
      </c>
      <c r="D2677" t="s">
        <v>57</v>
      </c>
      <c r="F2677" t="s">
        <v>9910</v>
      </c>
      <c r="G2677" t="s">
        <v>9911</v>
      </c>
      <c r="H2677" t="str">
        <f>"02031764255"</f>
        <v>02031764255</v>
      </c>
    </row>
    <row r="2678" spans="1:8">
      <c r="A2678" t="s">
        <v>9905</v>
      </c>
      <c r="B2678" t="s">
        <v>9912</v>
      </c>
      <c r="C2678" t="s">
        <v>9913</v>
      </c>
      <c r="D2678" t="s">
        <v>518</v>
      </c>
      <c r="F2678" t="s">
        <v>9914</v>
      </c>
      <c r="G2678" t="s">
        <v>9915</v>
      </c>
      <c r="H2678" t="str">
        <f>"02031764255"</f>
        <v>02031764255</v>
      </c>
    </row>
    <row r="2679" spans="1:8">
      <c r="A2679" t="s">
        <v>9905</v>
      </c>
      <c r="B2679" t="s">
        <v>9916</v>
      </c>
      <c r="D2679" t="s">
        <v>61</v>
      </c>
      <c r="F2679" t="s">
        <v>3827</v>
      </c>
      <c r="G2679" t="s">
        <v>9908</v>
      </c>
      <c r="H2679" t="str">
        <f>"02031764255"</f>
        <v>02031764255</v>
      </c>
    </row>
    <row r="2680" spans="1:8">
      <c r="A2680" t="s">
        <v>9917</v>
      </c>
      <c r="B2680" t="s">
        <v>9918</v>
      </c>
      <c r="C2680" t="s">
        <v>9919</v>
      </c>
      <c r="D2680" t="s">
        <v>9920</v>
      </c>
      <c r="E2680" t="s">
        <v>106</v>
      </c>
      <c r="F2680" t="s">
        <v>9921</v>
      </c>
      <c r="G2680" t="s">
        <v>9922</v>
      </c>
      <c r="H2680" t="str">
        <f>"01952 726111"</f>
        <v>01952 726111</v>
      </c>
    </row>
    <row r="2681" spans="1:8">
      <c r="A2681" t="s">
        <v>9923</v>
      </c>
      <c r="B2681" t="s">
        <v>9924</v>
      </c>
      <c r="C2681" t="s">
        <v>1960</v>
      </c>
      <c r="D2681" t="s">
        <v>3194</v>
      </c>
      <c r="F2681" t="s">
        <v>9925</v>
      </c>
      <c r="G2681" t="s">
        <v>9926</v>
      </c>
      <c r="H2681" t="str">
        <f>"01564776287"</f>
        <v>01564776287</v>
      </c>
    </row>
    <row r="2682" spans="1:8">
      <c r="A2682" t="s">
        <v>9927</v>
      </c>
      <c r="B2682" t="s">
        <v>9928</v>
      </c>
      <c r="C2682" t="s">
        <v>9929</v>
      </c>
      <c r="D2682" t="s">
        <v>5269</v>
      </c>
      <c r="E2682" t="s">
        <v>736</v>
      </c>
      <c r="F2682" t="s">
        <v>9930</v>
      </c>
      <c r="G2682" t="s">
        <v>9931</v>
      </c>
      <c r="H2682" t="str">
        <f>"01206 593933"</f>
        <v>01206 593933</v>
      </c>
    </row>
    <row r="2683" spans="1:8">
      <c r="A2683" t="s">
        <v>9927</v>
      </c>
      <c r="B2683" t="s">
        <v>9932</v>
      </c>
      <c r="D2683" t="s">
        <v>5736</v>
      </c>
      <c r="F2683" t="s">
        <v>9933</v>
      </c>
      <c r="G2683" t="s">
        <v>9934</v>
      </c>
      <c r="H2683" t="str">
        <f>"01376 529235"</f>
        <v>01376 529235</v>
      </c>
    </row>
    <row r="2684" spans="1:8">
      <c r="A2684" t="s">
        <v>9927</v>
      </c>
      <c r="B2684" t="s">
        <v>9935</v>
      </c>
      <c r="D2684" t="s">
        <v>8530</v>
      </c>
      <c r="E2684" t="s">
        <v>736</v>
      </c>
      <c r="F2684" t="s">
        <v>9936</v>
      </c>
      <c r="G2684" t="s">
        <v>9934</v>
      </c>
      <c r="H2684" t="str">
        <f>"01787 475312"</f>
        <v>01787 475312</v>
      </c>
    </row>
    <row r="2685" spans="1:8">
      <c r="A2685" t="s">
        <v>9927</v>
      </c>
      <c r="B2685" t="s">
        <v>9937</v>
      </c>
      <c r="D2685" t="s">
        <v>5739</v>
      </c>
      <c r="E2685" t="s">
        <v>1412</v>
      </c>
      <c r="F2685" t="s">
        <v>9938</v>
      </c>
      <c r="G2685" t="s">
        <v>9934</v>
      </c>
      <c r="H2685" t="str">
        <f>"01787 275275"</f>
        <v>01787 275275</v>
      </c>
    </row>
    <row r="2686" spans="1:8">
      <c r="A2686" t="s">
        <v>9927</v>
      </c>
      <c r="B2686" t="s">
        <v>9939</v>
      </c>
      <c r="C2686" t="s">
        <v>9940</v>
      </c>
      <c r="D2686" t="s">
        <v>5269</v>
      </c>
      <c r="E2686" t="s">
        <v>736</v>
      </c>
      <c r="F2686" t="s">
        <v>9941</v>
      </c>
      <c r="G2686" t="s">
        <v>9934</v>
      </c>
      <c r="H2686" t="str">
        <f>"01206 593933"</f>
        <v>01206 593933</v>
      </c>
    </row>
    <row r="2687" spans="1:8">
      <c r="A2687" t="s">
        <v>9927</v>
      </c>
      <c r="B2687" t="s">
        <v>9942</v>
      </c>
      <c r="D2687" t="s">
        <v>5268</v>
      </c>
      <c r="E2687" t="s">
        <v>736</v>
      </c>
      <c r="F2687" t="s">
        <v>5270</v>
      </c>
      <c r="G2687" t="s">
        <v>9934</v>
      </c>
      <c r="H2687" t="str">
        <f>"01621 817522"</f>
        <v>01621 817522</v>
      </c>
    </row>
    <row r="2688" spans="1:8">
      <c r="A2688" t="s">
        <v>9927</v>
      </c>
      <c r="B2688" t="s">
        <v>9943</v>
      </c>
      <c r="D2688" t="s">
        <v>5265</v>
      </c>
      <c r="F2688" t="s">
        <v>9944</v>
      </c>
      <c r="G2688" t="s">
        <v>9931</v>
      </c>
      <c r="H2688" t="str">
        <f>"01376557333"</f>
        <v>01376557333</v>
      </c>
    </row>
    <row r="2689" spans="1:8">
      <c r="A2689" t="s">
        <v>9945</v>
      </c>
      <c r="B2689" t="s">
        <v>9946</v>
      </c>
      <c r="C2689" t="s">
        <v>9947</v>
      </c>
      <c r="D2689" t="s">
        <v>9948</v>
      </c>
      <c r="F2689" t="s">
        <v>9949</v>
      </c>
      <c r="G2689" t="s">
        <v>9950</v>
      </c>
      <c r="H2689" t="str">
        <f>"01145510900"</f>
        <v>01145510900</v>
      </c>
    </row>
    <row r="2690" spans="1:8">
      <c r="A2690" t="s">
        <v>9945</v>
      </c>
      <c r="B2690" t="s">
        <v>9951</v>
      </c>
      <c r="C2690" t="s">
        <v>2849</v>
      </c>
      <c r="D2690" t="s">
        <v>493</v>
      </c>
      <c r="E2690" t="s">
        <v>315</v>
      </c>
      <c r="F2690" t="s">
        <v>9952</v>
      </c>
      <c r="G2690" t="s">
        <v>9950</v>
      </c>
      <c r="H2690" t="str">
        <f>"0161 549 9719"</f>
        <v>0161 549 9719</v>
      </c>
    </row>
    <row r="2691" spans="1:8">
      <c r="A2691" t="s">
        <v>9953</v>
      </c>
      <c r="B2691" t="s">
        <v>9954</v>
      </c>
      <c r="C2691" t="s">
        <v>9955</v>
      </c>
      <c r="D2691" t="s">
        <v>9956</v>
      </c>
      <c r="F2691" t="s">
        <v>9957</v>
      </c>
      <c r="G2691" t="s">
        <v>9958</v>
      </c>
      <c r="H2691" t="str">
        <f>"01274 584 305"</f>
        <v>01274 584 305</v>
      </c>
    </row>
    <row r="2692" spans="1:8">
      <c r="A2692" t="s">
        <v>9959</v>
      </c>
      <c r="B2692" t="s">
        <v>9960</v>
      </c>
      <c r="C2692" t="s">
        <v>9961</v>
      </c>
      <c r="D2692" t="s">
        <v>409</v>
      </c>
      <c r="E2692" t="s">
        <v>410</v>
      </c>
      <c r="F2692" t="s">
        <v>9962</v>
      </c>
      <c r="G2692" t="s">
        <v>9963</v>
      </c>
      <c r="H2692" t="str">
        <f>"0115 8716 123"</f>
        <v>0115 8716 123</v>
      </c>
    </row>
    <row r="2693" spans="1:8">
      <c r="A2693" t="s">
        <v>9959</v>
      </c>
      <c r="B2693" t="s">
        <v>9964</v>
      </c>
      <c r="D2693" t="s">
        <v>1024</v>
      </c>
      <c r="F2693" t="s">
        <v>9965</v>
      </c>
      <c r="G2693" t="s">
        <v>9963</v>
      </c>
      <c r="H2693" t="str">
        <f>"01142999111"</f>
        <v>01142999111</v>
      </c>
    </row>
    <row r="2694" spans="1:8">
      <c r="A2694" t="s">
        <v>9959</v>
      </c>
      <c r="B2694" t="s">
        <v>9966</v>
      </c>
      <c r="C2694" t="s">
        <v>5133</v>
      </c>
      <c r="D2694" t="s">
        <v>5134</v>
      </c>
      <c r="E2694" t="s">
        <v>1033</v>
      </c>
      <c r="F2694" t="s">
        <v>9967</v>
      </c>
      <c r="G2694" t="s">
        <v>9963</v>
      </c>
      <c r="H2694" t="str">
        <f>"0333 3444 391"</f>
        <v>0333 3444 391</v>
      </c>
    </row>
    <row r="2695" spans="1:8">
      <c r="A2695" t="s">
        <v>9968</v>
      </c>
      <c r="B2695" t="s">
        <v>9969</v>
      </c>
      <c r="C2695" t="s">
        <v>7111</v>
      </c>
      <c r="D2695" t="s">
        <v>1893</v>
      </c>
      <c r="E2695" t="s">
        <v>121</v>
      </c>
      <c r="F2695" t="s">
        <v>9970</v>
      </c>
      <c r="G2695" t="s">
        <v>9971</v>
      </c>
      <c r="H2695" t="str">
        <f>"023 9282 0747"</f>
        <v>023 9282 0747</v>
      </c>
    </row>
    <row r="2696" spans="1:8">
      <c r="A2696" t="s">
        <v>9968</v>
      </c>
      <c r="B2696" t="s">
        <v>36</v>
      </c>
      <c r="D2696" t="s">
        <v>120</v>
      </c>
      <c r="E2696" t="s">
        <v>121</v>
      </c>
      <c r="F2696" t="s">
        <v>9972</v>
      </c>
      <c r="G2696" t="s">
        <v>9973</v>
      </c>
      <c r="H2696" t="str">
        <f>"01329822333"</f>
        <v>01329822333</v>
      </c>
    </row>
    <row r="2697" spans="1:8">
      <c r="A2697" t="s">
        <v>9968</v>
      </c>
      <c r="B2697" t="s">
        <v>9974</v>
      </c>
      <c r="C2697" t="s">
        <v>9975</v>
      </c>
      <c r="D2697" t="s">
        <v>1896</v>
      </c>
      <c r="F2697" t="s">
        <v>9976</v>
      </c>
      <c r="G2697" t="s">
        <v>9973</v>
      </c>
      <c r="H2697" t="str">
        <f>"02392210170"</f>
        <v>02392210170</v>
      </c>
    </row>
    <row r="2698" spans="1:8">
      <c r="A2698" t="s">
        <v>9968</v>
      </c>
      <c r="B2698" t="s">
        <v>8242</v>
      </c>
      <c r="D2698" t="s">
        <v>9977</v>
      </c>
      <c r="E2698" t="s">
        <v>121</v>
      </c>
      <c r="F2698" t="s">
        <v>9978</v>
      </c>
      <c r="G2698" t="s">
        <v>9979</v>
      </c>
      <c r="H2698" t="str">
        <f>"02392551500"</f>
        <v>02392551500</v>
      </c>
    </row>
    <row r="2699" spans="1:8">
      <c r="A2699" t="s">
        <v>9968</v>
      </c>
      <c r="B2699" t="s">
        <v>8364</v>
      </c>
      <c r="D2699" t="s">
        <v>9980</v>
      </c>
      <c r="E2699" t="s">
        <v>121</v>
      </c>
      <c r="F2699" t="s">
        <v>9981</v>
      </c>
      <c r="G2699" t="s">
        <v>9979</v>
      </c>
      <c r="H2699" t="str">
        <f>"02392603400"</f>
        <v>02392603400</v>
      </c>
    </row>
    <row r="2700" spans="1:8">
      <c r="A2700" t="s">
        <v>9968</v>
      </c>
      <c r="B2700" t="s">
        <v>9982</v>
      </c>
      <c r="C2700" t="s">
        <v>9983</v>
      </c>
      <c r="D2700" t="s">
        <v>9984</v>
      </c>
      <c r="E2700" t="s">
        <v>1906</v>
      </c>
      <c r="F2700" t="s">
        <v>9985</v>
      </c>
      <c r="G2700" t="s">
        <v>9973</v>
      </c>
      <c r="H2700" t="str">
        <f>"01983 817060"</f>
        <v>01983 817060</v>
      </c>
    </row>
    <row r="2701" spans="1:8">
      <c r="A2701" t="s">
        <v>9968</v>
      </c>
      <c r="B2701" t="s">
        <v>9986</v>
      </c>
      <c r="D2701" t="s">
        <v>1905</v>
      </c>
      <c r="F2701" t="s">
        <v>9987</v>
      </c>
      <c r="G2701" t="s">
        <v>9988</v>
      </c>
      <c r="H2701" t="str">
        <f>"01983 562201"</f>
        <v>01983 562201</v>
      </c>
    </row>
    <row r="2702" spans="1:8">
      <c r="A2702" t="s">
        <v>9968</v>
      </c>
      <c r="B2702" t="s">
        <v>9990</v>
      </c>
      <c r="C2702" t="s">
        <v>9991</v>
      </c>
      <c r="D2702" t="s">
        <v>9989</v>
      </c>
      <c r="F2702" t="s">
        <v>9992</v>
      </c>
      <c r="G2702" t="s">
        <v>9988</v>
      </c>
      <c r="H2702" t="str">
        <f>"01983 752115 "</f>
        <v xml:space="preserve">01983 752115 </v>
      </c>
    </row>
    <row r="2703" spans="1:8">
      <c r="A2703" t="s">
        <v>9968</v>
      </c>
      <c r="B2703" t="s">
        <v>9993</v>
      </c>
      <c r="D2703" t="s">
        <v>1616</v>
      </c>
      <c r="F2703" t="s">
        <v>9994</v>
      </c>
      <c r="G2703" t="s">
        <v>9973</v>
      </c>
      <c r="H2703" t="str">
        <f>"01983 526924"</f>
        <v>01983 526924</v>
      </c>
    </row>
    <row r="2704" spans="1:8">
      <c r="A2704" t="s">
        <v>9968</v>
      </c>
      <c r="B2704" t="s">
        <v>9996</v>
      </c>
      <c r="C2704" t="s">
        <v>9995</v>
      </c>
      <c r="D2704" t="s">
        <v>124</v>
      </c>
      <c r="F2704" t="s">
        <v>9997</v>
      </c>
      <c r="G2704" t="s">
        <v>9973</v>
      </c>
      <c r="H2704" t="str">
        <f>"01489 661220"</f>
        <v>01489 661220</v>
      </c>
    </row>
    <row r="2705" spans="1:8">
      <c r="A2705" t="s">
        <v>9998</v>
      </c>
      <c r="B2705" t="s">
        <v>9999</v>
      </c>
      <c r="D2705" t="s">
        <v>170</v>
      </c>
      <c r="F2705" t="s">
        <v>10000</v>
      </c>
      <c r="G2705" t="s">
        <v>10001</v>
      </c>
      <c r="H2705" t="str">
        <f>"01622678341"</f>
        <v>01622678341</v>
      </c>
    </row>
    <row r="2706" spans="1:8">
      <c r="A2706" t="s">
        <v>9998</v>
      </c>
      <c r="B2706" t="s">
        <v>10002</v>
      </c>
      <c r="C2706" t="s">
        <v>10003</v>
      </c>
      <c r="D2706" t="s">
        <v>4876</v>
      </c>
      <c r="F2706" t="s">
        <v>10004</v>
      </c>
      <c r="G2706" t="s">
        <v>10001</v>
      </c>
      <c r="H2706" t="str">
        <f>"01474 887688"</f>
        <v>01474 887688</v>
      </c>
    </row>
    <row r="2707" spans="1:8">
      <c r="A2707" t="s">
        <v>10005</v>
      </c>
      <c r="B2707" t="s">
        <v>10006</v>
      </c>
      <c r="C2707" t="s">
        <v>10007</v>
      </c>
      <c r="D2707" t="s">
        <v>1638</v>
      </c>
      <c r="E2707" t="s">
        <v>164</v>
      </c>
      <c r="F2707" t="s">
        <v>10008</v>
      </c>
      <c r="G2707" t="s">
        <v>10009</v>
      </c>
      <c r="H2707" t="str">
        <f>"01202631000"</f>
        <v>01202631000</v>
      </c>
    </row>
    <row r="2708" spans="1:8">
      <c r="A2708" t="s">
        <v>10010</v>
      </c>
      <c r="B2708" t="s">
        <v>10011</v>
      </c>
      <c r="D2708" t="s">
        <v>6658</v>
      </c>
      <c r="E2708" t="s">
        <v>132</v>
      </c>
      <c r="F2708" t="s">
        <v>10012</v>
      </c>
      <c r="G2708" t="s">
        <v>10013</v>
      </c>
      <c r="H2708" t="str">
        <f>"01282862000"</f>
        <v>01282862000</v>
      </c>
    </row>
    <row r="2709" spans="1:8">
      <c r="A2709" t="s">
        <v>10010</v>
      </c>
      <c r="B2709" t="s">
        <v>10014</v>
      </c>
      <c r="D2709" t="s">
        <v>1715</v>
      </c>
      <c r="E2709" t="s">
        <v>132</v>
      </c>
      <c r="F2709" t="s">
        <v>10015</v>
      </c>
      <c r="G2709" t="s">
        <v>10016</v>
      </c>
      <c r="H2709" t="str">
        <f>"01282 457295"</f>
        <v>01282 457295</v>
      </c>
    </row>
    <row r="2710" spans="1:8">
      <c r="A2710" t="s">
        <v>10017</v>
      </c>
      <c r="B2710" t="s">
        <v>10018</v>
      </c>
      <c r="D2710" t="s">
        <v>141</v>
      </c>
      <c r="E2710" t="s">
        <v>464</v>
      </c>
      <c r="F2710" t="s">
        <v>10019</v>
      </c>
      <c r="G2710" t="s">
        <v>10020</v>
      </c>
      <c r="H2710" t="str">
        <f>"01225 666600"</f>
        <v>01225 666600</v>
      </c>
    </row>
    <row r="2711" spans="1:8">
      <c r="A2711" t="s">
        <v>10021</v>
      </c>
      <c r="B2711" t="s">
        <v>10022</v>
      </c>
      <c r="C2711" t="s">
        <v>10023</v>
      </c>
      <c r="D2711" t="s">
        <v>4478</v>
      </c>
      <c r="E2711" t="s">
        <v>1352</v>
      </c>
      <c r="F2711" t="s">
        <v>10024</v>
      </c>
      <c r="G2711" t="s">
        <v>10025</v>
      </c>
      <c r="H2711" t="str">
        <f>"01429 271651"</f>
        <v>01429 271651</v>
      </c>
    </row>
    <row r="2712" spans="1:8">
      <c r="A2712" t="s">
        <v>10021</v>
      </c>
      <c r="B2712" t="s">
        <v>10026</v>
      </c>
      <c r="D2712" t="s">
        <v>256</v>
      </c>
      <c r="F2712" t="s">
        <v>2072</v>
      </c>
      <c r="G2712" t="s">
        <v>10025</v>
      </c>
      <c r="H2712" t="str">
        <f>"01642 425040"</f>
        <v>01642 425040</v>
      </c>
    </row>
    <row r="2713" spans="1:8">
      <c r="A2713" t="s">
        <v>10021</v>
      </c>
      <c r="B2713" t="s">
        <v>10027</v>
      </c>
      <c r="D2713" t="s">
        <v>4475</v>
      </c>
      <c r="E2713" t="s">
        <v>1487</v>
      </c>
      <c r="F2713" t="s">
        <v>10028</v>
      </c>
      <c r="G2713" t="s">
        <v>10025</v>
      </c>
      <c r="H2713" t="str">
        <f>"0191 5183393"</f>
        <v>0191 5183393</v>
      </c>
    </row>
    <row r="2714" spans="1:8">
      <c r="A2714" t="s">
        <v>10029</v>
      </c>
      <c r="B2714" t="s">
        <v>10030</v>
      </c>
      <c r="D2714" t="s">
        <v>1111</v>
      </c>
      <c r="E2714" t="s">
        <v>16</v>
      </c>
      <c r="F2714" t="s">
        <v>10031</v>
      </c>
      <c r="G2714" t="s">
        <v>10032</v>
      </c>
      <c r="H2714" t="str">
        <f>"01902 313311"</f>
        <v>01902 313311</v>
      </c>
    </row>
    <row r="2715" spans="1:8">
      <c r="A2715" t="s">
        <v>10029</v>
      </c>
      <c r="B2715" t="s">
        <v>10033</v>
      </c>
      <c r="C2715" t="s">
        <v>1670</v>
      </c>
      <c r="D2715" t="s">
        <v>1670</v>
      </c>
      <c r="E2715" t="s">
        <v>1111</v>
      </c>
      <c r="F2715" t="s">
        <v>10034</v>
      </c>
      <c r="G2715" t="s">
        <v>10035</v>
      </c>
      <c r="H2715" t="str">
        <f>"01902317955"</f>
        <v>01902317955</v>
      </c>
    </row>
    <row r="2716" spans="1:8">
      <c r="A2716" t="s">
        <v>10036</v>
      </c>
      <c r="B2716" t="s">
        <v>10037</v>
      </c>
      <c r="C2716" t="s">
        <v>10038</v>
      </c>
      <c r="D2716" t="s">
        <v>9658</v>
      </c>
      <c r="F2716" t="s">
        <v>10039</v>
      </c>
      <c r="G2716" t="s">
        <v>10040</v>
      </c>
      <c r="H2716" t="str">
        <f>"01159 304994"</f>
        <v>01159 304994</v>
      </c>
    </row>
    <row r="2717" spans="1:8">
      <c r="A2717" t="s">
        <v>10036</v>
      </c>
      <c r="B2717" t="s">
        <v>10041</v>
      </c>
      <c r="C2717" t="s">
        <v>9662</v>
      </c>
      <c r="F2717" t="s">
        <v>10042</v>
      </c>
      <c r="G2717" t="s">
        <v>10040</v>
      </c>
      <c r="H2717" t="str">
        <f>"01773 713846"</f>
        <v>01773 713846</v>
      </c>
    </row>
    <row r="2718" spans="1:8">
      <c r="A2718" t="s">
        <v>10036</v>
      </c>
      <c r="B2718" t="s">
        <v>10043</v>
      </c>
      <c r="C2718" t="s">
        <v>2877</v>
      </c>
      <c r="D2718" t="s">
        <v>10044</v>
      </c>
      <c r="F2718" t="s">
        <v>10045</v>
      </c>
      <c r="G2718" t="s">
        <v>10040</v>
      </c>
      <c r="H2718" t="str">
        <f>"07802429330"</f>
        <v>07802429330</v>
      </c>
    </row>
    <row r="2719" spans="1:8">
      <c r="A2719" t="s">
        <v>10046</v>
      </c>
      <c r="B2719" t="s">
        <v>7432</v>
      </c>
      <c r="D2719" t="s">
        <v>1468</v>
      </c>
      <c r="E2719" t="s">
        <v>121</v>
      </c>
      <c r="F2719" t="s">
        <v>10047</v>
      </c>
      <c r="G2719" t="s">
        <v>10048</v>
      </c>
      <c r="H2719" t="str">
        <f>"01264 353411"</f>
        <v>01264 353411</v>
      </c>
    </row>
    <row r="2720" spans="1:8">
      <c r="A2720" t="s">
        <v>10049</v>
      </c>
      <c r="B2720" t="s">
        <v>10050</v>
      </c>
      <c r="D2720" t="s">
        <v>14</v>
      </c>
      <c r="E2720" t="s">
        <v>16</v>
      </c>
      <c r="F2720" t="s">
        <v>10051</v>
      </c>
      <c r="G2720" t="s">
        <v>10052</v>
      </c>
      <c r="H2720" t="str">
        <f>"0121 272 7788"</f>
        <v>0121 272 7788</v>
      </c>
    </row>
    <row r="2721" spans="1:8">
      <c r="A2721" t="s">
        <v>10053</v>
      </c>
      <c r="B2721" t="s">
        <v>10054</v>
      </c>
      <c r="D2721" t="s">
        <v>835</v>
      </c>
      <c r="E2721" t="s">
        <v>132</v>
      </c>
      <c r="F2721" t="s">
        <v>10055</v>
      </c>
      <c r="G2721" t="s">
        <v>10056</v>
      </c>
      <c r="H2721" t="str">
        <f>"01253629300"</f>
        <v>01253629300</v>
      </c>
    </row>
    <row r="2722" spans="1:8">
      <c r="A2722" t="s">
        <v>10057</v>
      </c>
      <c r="B2722" t="s">
        <v>10058</v>
      </c>
      <c r="C2722" t="s">
        <v>10059</v>
      </c>
      <c r="D2722" t="s">
        <v>1644</v>
      </c>
      <c r="E2722" t="s">
        <v>164</v>
      </c>
      <c r="F2722" t="s">
        <v>10060</v>
      </c>
      <c r="G2722" t="s">
        <v>10061</v>
      </c>
      <c r="H2722" t="str">
        <f>"01258 459361"</f>
        <v>01258 459361</v>
      </c>
    </row>
    <row r="2723" spans="1:8">
      <c r="A2723" t="s">
        <v>10057</v>
      </c>
      <c r="B2723" t="s">
        <v>8524</v>
      </c>
      <c r="D2723" t="s">
        <v>8747</v>
      </c>
      <c r="E2723" t="s">
        <v>164</v>
      </c>
      <c r="F2723" t="s">
        <v>10062</v>
      </c>
      <c r="G2723" t="s">
        <v>10063</v>
      </c>
      <c r="H2723" t="str">
        <f>"01747 440447"</f>
        <v>01747 440447</v>
      </c>
    </row>
    <row r="2724" spans="1:8">
      <c r="A2724" t="s">
        <v>10057</v>
      </c>
      <c r="B2724" t="s">
        <v>10064</v>
      </c>
      <c r="C2724" t="s">
        <v>4842</v>
      </c>
      <c r="D2724" t="s">
        <v>1572</v>
      </c>
      <c r="E2724" t="s">
        <v>164</v>
      </c>
      <c r="F2724" t="s">
        <v>10065</v>
      </c>
      <c r="G2724" t="s">
        <v>10066</v>
      </c>
      <c r="H2724" t="str">
        <f>"01305 251222"</f>
        <v>01305 251222</v>
      </c>
    </row>
    <row r="2725" spans="1:8">
      <c r="A2725" t="s">
        <v>10057</v>
      </c>
      <c r="B2725" t="s">
        <v>10067</v>
      </c>
      <c r="C2725" t="s">
        <v>10068</v>
      </c>
      <c r="D2725" t="s">
        <v>3223</v>
      </c>
      <c r="F2725" t="s">
        <v>10069</v>
      </c>
      <c r="G2725" t="s">
        <v>10070</v>
      </c>
      <c r="H2725" t="str">
        <f>"01305 251095"</f>
        <v>01305 251095</v>
      </c>
    </row>
    <row r="2726" spans="1:8">
      <c r="A2726" t="s">
        <v>10071</v>
      </c>
      <c r="B2726" t="s">
        <v>10072</v>
      </c>
      <c r="D2726" t="s">
        <v>57</v>
      </c>
      <c r="F2726" t="s">
        <v>10073</v>
      </c>
      <c r="G2726" t="s">
        <v>10074</v>
      </c>
      <c r="H2726" t="str">
        <f>"02076254424"</f>
        <v>02076254424</v>
      </c>
    </row>
    <row r="2727" spans="1:8">
      <c r="A2727" t="s">
        <v>10071</v>
      </c>
      <c r="B2727" t="s">
        <v>10075</v>
      </c>
      <c r="D2727" t="s">
        <v>57</v>
      </c>
      <c r="F2727" t="s">
        <v>10076</v>
      </c>
      <c r="G2727" t="s">
        <v>10074</v>
      </c>
      <c r="H2727" t="str">
        <f>"020 7581 7500"</f>
        <v>020 7581 7500</v>
      </c>
    </row>
    <row r="2728" spans="1:8">
      <c r="A2728" t="s">
        <v>10077</v>
      </c>
      <c r="B2728" t="s">
        <v>10078</v>
      </c>
      <c r="D2728" t="s">
        <v>3938</v>
      </c>
      <c r="E2728" t="s">
        <v>16</v>
      </c>
      <c r="F2728" t="s">
        <v>7256</v>
      </c>
      <c r="G2728" t="s">
        <v>10079</v>
      </c>
      <c r="H2728" t="str">
        <f>"02476 231 000"</f>
        <v>02476 231 000</v>
      </c>
    </row>
    <row r="2729" spans="1:8">
      <c r="A2729" t="s">
        <v>10080</v>
      </c>
      <c r="B2729" t="s">
        <v>10081</v>
      </c>
      <c r="C2729" t="s">
        <v>10082</v>
      </c>
      <c r="D2729" t="s">
        <v>6375</v>
      </c>
      <c r="E2729" t="s">
        <v>315</v>
      </c>
      <c r="F2729" t="s">
        <v>6588</v>
      </c>
      <c r="G2729" t="s">
        <v>10083</v>
      </c>
      <c r="H2729" t="str">
        <f>"01514220982"</f>
        <v>01514220982</v>
      </c>
    </row>
    <row r="2730" spans="1:8">
      <c r="A2730" t="s">
        <v>10080</v>
      </c>
      <c r="B2730" t="s">
        <v>10084</v>
      </c>
      <c r="D2730" t="s">
        <v>5685</v>
      </c>
      <c r="E2730" t="s">
        <v>893</v>
      </c>
      <c r="F2730" t="s">
        <v>10085</v>
      </c>
      <c r="G2730" t="s">
        <v>10083</v>
      </c>
      <c r="H2730" t="str">
        <f>"01744755577"</f>
        <v>01744755577</v>
      </c>
    </row>
    <row r="2731" spans="1:8">
      <c r="A2731" t="s">
        <v>10080</v>
      </c>
      <c r="B2731" t="s">
        <v>10086</v>
      </c>
      <c r="D2731" t="s">
        <v>2214</v>
      </c>
      <c r="E2731" t="s">
        <v>315</v>
      </c>
      <c r="F2731" t="s">
        <v>10087</v>
      </c>
      <c r="G2731" t="s">
        <v>10083</v>
      </c>
      <c r="H2731" t="str">
        <f>"0151 495 3270"</f>
        <v>0151 495 3270</v>
      </c>
    </row>
    <row r="2732" spans="1:8">
      <c r="A2732" t="s">
        <v>10088</v>
      </c>
      <c r="B2732" t="s">
        <v>10089</v>
      </c>
      <c r="D2732" t="s">
        <v>10090</v>
      </c>
      <c r="F2732" t="s">
        <v>10091</v>
      </c>
      <c r="G2732" t="s">
        <v>10092</v>
      </c>
      <c r="H2732" t="str">
        <f>"02082 800810"</f>
        <v>02082 800810</v>
      </c>
    </row>
    <row r="2733" spans="1:8">
      <c r="A2733" t="s">
        <v>10093</v>
      </c>
      <c r="B2733" t="s">
        <v>10094</v>
      </c>
      <c r="C2733" t="s">
        <v>10095</v>
      </c>
      <c r="D2733" t="s">
        <v>5685</v>
      </c>
      <c r="E2733" t="s">
        <v>893</v>
      </c>
      <c r="F2733" t="s">
        <v>10096</v>
      </c>
      <c r="G2733" t="s">
        <v>10097</v>
      </c>
      <c r="H2733" t="str">
        <f>"01744 385171"</f>
        <v>01744 385171</v>
      </c>
    </row>
    <row r="2734" spans="1:8">
      <c r="A2734" t="s">
        <v>10098</v>
      </c>
      <c r="B2734" t="s">
        <v>10099</v>
      </c>
      <c r="D2734" t="s">
        <v>440</v>
      </c>
      <c r="E2734" t="s">
        <v>315</v>
      </c>
      <c r="F2734" t="s">
        <v>10100</v>
      </c>
      <c r="G2734" t="s">
        <v>10101</v>
      </c>
      <c r="H2734" t="str">
        <f>"01244 356789"</f>
        <v>01244 356789</v>
      </c>
    </row>
    <row r="2735" spans="1:8">
      <c r="A2735" t="s">
        <v>10098</v>
      </c>
      <c r="B2735" t="s">
        <v>10102</v>
      </c>
      <c r="C2735" t="s">
        <v>10103</v>
      </c>
      <c r="D2735" t="s">
        <v>6377</v>
      </c>
      <c r="F2735" t="s">
        <v>10104</v>
      </c>
      <c r="G2735" t="s">
        <v>10105</v>
      </c>
      <c r="H2735" t="str">
        <f>"01244356789"</f>
        <v>01244356789</v>
      </c>
    </row>
    <row r="2736" spans="1:8">
      <c r="A2736" t="s">
        <v>10106</v>
      </c>
      <c r="B2736" t="s">
        <v>10107</v>
      </c>
      <c r="D2736" t="s">
        <v>615</v>
      </c>
      <c r="E2736" t="s">
        <v>616</v>
      </c>
      <c r="F2736" t="s">
        <v>10108</v>
      </c>
      <c r="G2736" t="s">
        <v>10109</v>
      </c>
      <c r="H2736" t="str">
        <f>"01904625678"</f>
        <v>01904625678</v>
      </c>
    </row>
    <row r="2737" spans="1:8">
      <c r="A2737" t="s">
        <v>10110</v>
      </c>
      <c r="B2737" t="s">
        <v>10111</v>
      </c>
      <c r="D2737" t="s">
        <v>4418</v>
      </c>
      <c r="E2737" t="s">
        <v>4418</v>
      </c>
      <c r="F2737" t="s">
        <v>10112</v>
      </c>
      <c r="G2737" t="s">
        <v>10113</v>
      </c>
      <c r="H2737" t="str">
        <f>"01978366665"</f>
        <v>01978366665</v>
      </c>
    </row>
    <row r="2738" spans="1:8">
      <c r="A2738" t="s">
        <v>10110</v>
      </c>
      <c r="B2738" t="s">
        <v>10114</v>
      </c>
      <c r="D2738" t="s">
        <v>4418</v>
      </c>
      <c r="F2738" t="s">
        <v>10115</v>
      </c>
      <c r="G2738" t="s">
        <v>10116</v>
      </c>
      <c r="H2738" t="str">
        <f>"01978 291662"</f>
        <v>01978 291662</v>
      </c>
    </row>
    <row r="2739" spans="1:8">
      <c r="A2739" t="s">
        <v>10117</v>
      </c>
      <c r="B2739" t="s">
        <v>10118</v>
      </c>
      <c r="C2739" t="s">
        <v>10119</v>
      </c>
      <c r="D2739" t="s">
        <v>9022</v>
      </c>
      <c r="E2739" t="s">
        <v>171</v>
      </c>
      <c r="F2739" t="s">
        <v>10120</v>
      </c>
      <c r="G2739" t="s">
        <v>10121</v>
      </c>
      <c r="H2739" t="str">
        <f>"02082699900"</f>
        <v>02082699900</v>
      </c>
    </row>
    <row r="2740" spans="1:8">
      <c r="A2740" t="s">
        <v>10117</v>
      </c>
      <c r="B2740" t="s">
        <v>10122</v>
      </c>
      <c r="C2740" t="s">
        <v>5142</v>
      </c>
      <c r="D2740" t="s">
        <v>615</v>
      </c>
      <c r="E2740" t="s">
        <v>616</v>
      </c>
      <c r="F2740" t="s">
        <v>5143</v>
      </c>
      <c r="G2740" t="s">
        <v>10123</v>
      </c>
      <c r="H2740" t="str">
        <f>"01904 234095"</f>
        <v>01904 234095</v>
      </c>
    </row>
    <row r="2741" spans="1:8">
      <c r="A2741" t="s">
        <v>10124</v>
      </c>
      <c r="B2741" t="s">
        <v>10125</v>
      </c>
      <c r="C2741" t="s">
        <v>10126</v>
      </c>
      <c r="D2741" t="s">
        <v>1103</v>
      </c>
      <c r="E2741" t="s">
        <v>106</v>
      </c>
      <c r="F2741" t="s">
        <v>10127</v>
      </c>
      <c r="G2741" t="s">
        <v>10128</v>
      </c>
      <c r="H2741" t="str">
        <f>"01743248545"</f>
        <v>01743248545</v>
      </c>
    </row>
    <row r="2742" spans="1:8">
      <c r="A2742" t="s">
        <v>10124</v>
      </c>
      <c r="B2742" t="s">
        <v>10129</v>
      </c>
      <c r="C2742" t="s">
        <v>10130</v>
      </c>
      <c r="D2742" t="s">
        <v>10131</v>
      </c>
      <c r="F2742" t="s">
        <v>10132</v>
      </c>
      <c r="G2742" t="s">
        <v>10133</v>
      </c>
      <c r="H2742" t="str">
        <f>"01948 663361"</f>
        <v>01948 663361</v>
      </c>
    </row>
    <row r="2743" spans="1:8">
      <c r="A2743" t="s">
        <v>10134</v>
      </c>
      <c r="B2743" t="s">
        <v>10135</v>
      </c>
      <c r="C2743" t="s">
        <v>10136</v>
      </c>
      <c r="D2743" t="s">
        <v>674</v>
      </c>
      <c r="E2743" t="s">
        <v>280</v>
      </c>
      <c r="F2743" t="s">
        <v>10137</v>
      </c>
      <c r="G2743" t="s">
        <v>10138</v>
      </c>
      <c r="H2743" t="str">
        <f>"01274 404010"</f>
        <v>01274 404010</v>
      </c>
    </row>
    <row r="2744" spans="1:8">
      <c r="A2744" t="s">
        <v>10139</v>
      </c>
      <c r="B2744" t="s">
        <v>10140</v>
      </c>
      <c r="D2744" t="s">
        <v>766</v>
      </c>
      <c r="E2744" t="s">
        <v>132</v>
      </c>
      <c r="F2744" t="s">
        <v>10141</v>
      </c>
      <c r="G2744" t="s">
        <v>10142</v>
      </c>
      <c r="H2744" t="str">
        <f>"01204 565444"</f>
        <v>01204 565444</v>
      </c>
    </row>
    <row r="2745" spans="1:8">
      <c r="A2745" t="s">
        <v>10143</v>
      </c>
      <c r="B2745" t="s">
        <v>10144</v>
      </c>
      <c r="D2745" t="s">
        <v>741</v>
      </c>
      <c r="E2745" t="s">
        <v>742</v>
      </c>
      <c r="F2745" t="s">
        <v>10145</v>
      </c>
      <c r="G2745" t="s">
        <v>10146</v>
      </c>
      <c r="H2745" t="str">
        <f>"01603675633"</f>
        <v>01603675633</v>
      </c>
    </row>
    <row r="2746" spans="1:8">
      <c r="A2746" t="s">
        <v>10143</v>
      </c>
      <c r="B2746" t="s">
        <v>10147</v>
      </c>
      <c r="D2746" t="s">
        <v>8001</v>
      </c>
      <c r="E2746" t="s">
        <v>742</v>
      </c>
      <c r="F2746" t="s">
        <v>10148</v>
      </c>
      <c r="G2746" t="s">
        <v>10149</v>
      </c>
      <c r="H2746" t="str">
        <f>"01953 453774 "</f>
        <v xml:space="preserve">01953 453774 </v>
      </c>
    </row>
    <row r="2747" spans="1:8">
      <c r="A2747" t="s">
        <v>10143</v>
      </c>
      <c r="B2747" t="s">
        <v>10150</v>
      </c>
      <c r="D2747" t="s">
        <v>7998</v>
      </c>
      <c r="F2747" t="s">
        <v>10151</v>
      </c>
      <c r="G2747" t="s">
        <v>10152</v>
      </c>
      <c r="H2747" t="str">
        <f>"01362 562824"</f>
        <v>01362 562824</v>
      </c>
    </row>
    <row r="2748" spans="1:8">
      <c r="A2748" t="s">
        <v>10153</v>
      </c>
      <c r="B2748" t="s">
        <v>10154</v>
      </c>
      <c r="C2748" t="s">
        <v>1541</v>
      </c>
      <c r="D2748" t="s">
        <v>3194</v>
      </c>
      <c r="F2748" t="s">
        <v>10155</v>
      </c>
      <c r="G2748" t="s">
        <v>10156</v>
      </c>
      <c r="H2748" t="str">
        <f>"01212710111"</f>
        <v>01212710111</v>
      </c>
    </row>
    <row r="2749" spans="1:8">
      <c r="A2749" t="s">
        <v>10153</v>
      </c>
      <c r="B2749" t="s">
        <v>10158</v>
      </c>
      <c r="D2749" t="s">
        <v>10157</v>
      </c>
      <c r="F2749" t="s">
        <v>10159</v>
      </c>
      <c r="G2749" t="s">
        <v>10160</v>
      </c>
      <c r="H2749" t="str">
        <f>"020 4635 5500"</f>
        <v>020 4635 5500</v>
      </c>
    </row>
    <row r="2750" spans="1:8">
      <c r="A2750" t="s">
        <v>10153</v>
      </c>
      <c r="B2750" t="s">
        <v>10161</v>
      </c>
      <c r="D2750" t="s">
        <v>256</v>
      </c>
      <c r="F2750" t="s">
        <v>10162</v>
      </c>
      <c r="G2750" t="s">
        <v>10163</v>
      </c>
      <c r="H2750" t="str">
        <f>"01642 609 609"</f>
        <v>01642 609 609</v>
      </c>
    </row>
    <row r="2751" spans="1:8">
      <c r="A2751" t="s">
        <v>10164</v>
      </c>
      <c r="B2751" t="s">
        <v>10165</v>
      </c>
      <c r="C2751" t="s">
        <v>3826</v>
      </c>
      <c r="D2751" t="s">
        <v>61</v>
      </c>
      <c r="F2751" t="s">
        <v>10166</v>
      </c>
      <c r="G2751" t="s">
        <v>10167</v>
      </c>
      <c r="H2751" t="str">
        <f>"01179059262"</f>
        <v>01179059262</v>
      </c>
    </row>
    <row r="2752" spans="1:8">
      <c r="A2752" t="s">
        <v>10164</v>
      </c>
      <c r="B2752" t="s">
        <v>10168</v>
      </c>
      <c r="C2752" t="s">
        <v>1965</v>
      </c>
      <c r="D2752" t="s">
        <v>61</v>
      </c>
      <c r="E2752" t="s">
        <v>1956</v>
      </c>
      <c r="F2752" t="s">
        <v>10169</v>
      </c>
      <c r="G2752" t="s">
        <v>10167</v>
      </c>
      <c r="H2752" t="str">
        <f>"0117 9314499"</f>
        <v>0117 9314499</v>
      </c>
    </row>
    <row r="2753" spans="1:8">
      <c r="A2753" t="s">
        <v>10164</v>
      </c>
      <c r="B2753" t="s">
        <v>2656</v>
      </c>
      <c r="C2753" t="s">
        <v>6257</v>
      </c>
      <c r="D2753" t="s">
        <v>61</v>
      </c>
      <c r="E2753" t="s">
        <v>6254</v>
      </c>
      <c r="F2753" t="s">
        <v>10170</v>
      </c>
      <c r="G2753" t="s">
        <v>10167</v>
      </c>
      <c r="H2753" t="str">
        <f>"01275 858266"</f>
        <v>01275 858266</v>
      </c>
    </row>
    <row r="2754" spans="1:8">
      <c r="A2754" t="s">
        <v>10164</v>
      </c>
      <c r="B2754" t="s">
        <v>10171</v>
      </c>
      <c r="C2754" t="s">
        <v>7405</v>
      </c>
      <c r="D2754" t="s">
        <v>383</v>
      </c>
      <c r="E2754" t="s">
        <v>703</v>
      </c>
      <c r="F2754" t="s">
        <v>10172</v>
      </c>
      <c r="G2754" t="s">
        <v>10167</v>
      </c>
      <c r="H2754" t="str">
        <f>"01793777007"</f>
        <v>01793777007</v>
      </c>
    </row>
    <row r="2755" spans="1:8">
      <c r="A2755" t="s">
        <v>10164</v>
      </c>
      <c r="B2755" t="s">
        <v>10173</v>
      </c>
      <c r="C2755" t="s">
        <v>10174</v>
      </c>
      <c r="D2755" t="s">
        <v>2666</v>
      </c>
      <c r="F2755" t="s">
        <v>10175</v>
      </c>
      <c r="G2755" t="s">
        <v>10167</v>
      </c>
      <c r="H2755" t="str">
        <f>"01884 798493"</f>
        <v>01884 798493</v>
      </c>
    </row>
    <row r="2756" spans="1:8">
      <c r="A2756" t="s">
        <v>10164</v>
      </c>
      <c r="B2756" t="s">
        <v>10176</v>
      </c>
      <c r="D2756" t="s">
        <v>3146</v>
      </c>
      <c r="E2756" t="s">
        <v>10177</v>
      </c>
      <c r="F2756" t="s">
        <v>10178</v>
      </c>
      <c r="G2756" t="s">
        <v>10167</v>
      </c>
      <c r="H2756" t="str">
        <f>"01291 628217"</f>
        <v>01291 628217</v>
      </c>
    </row>
    <row r="2757" spans="1:8">
      <c r="A2757" t="s">
        <v>10164</v>
      </c>
      <c r="B2757" t="s">
        <v>1822</v>
      </c>
      <c r="C2757" t="s">
        <v>10179</v>
      </c>
      <c r="D2757" t="s">
        <v>3337</v>
      </c>
      <c r="E2757" t="s">
        <v>10177</v>
      </c>
      <c r="F2757" t="s">
        <v>10180</v>
      </c>
      <c r="G2757" t="s">
        <v>10167</v>
      </c>
      <c r="H2757" t="str">
        <f>"01873 736536"</f>
        <v>01873 736536</v>
      </c>
    </row>
    <row r="2758" spans="1:8">
      <c r="A2758" t="s">
        <v>10164</v>
      </c>
      <c r="B2758" t="s">
        <v>10181</v>
      </c>
      <c r="D2758" t="s">
        <v>6252</v>
      </c>
      <c r="E2758" t="s">
        <v>6254</v>
      </c>
      <c r="F2758" t="s">
        <v>10182</v>
      </c>
      <c r="G2758" t="s">
        <v>10167</v>
      </c>
      <c r="H2758" t="str">
        <f>"01275 877277"</f>
        <v>01275 877277</v>
      </c>
    </row>
    <row r="2759" spans="1:8">
      <c r="A2759" t="s">
        <v>10164</v>
      </c>
      <c r="B2759" t="s">
        <v>10183</v>
      </c>
      <c r="C2759" t="s">
        <v>7424</v>
      </c>
      <c r="D2759" t="s">
        <v>61</v>
      </c>
      <c r="F2759" t="s">
        <v>10184</v>
      </c>
      <c r="G2759" t="s">
        <v>10167</v>
      </c>
      <c r="H2759" t="str">
        <f>"0117 965 3504"</f>
        <v>0117 965 3504</v>
      </c>
    </row>
    <row r="2760" spans="1:8">
      <c r="A2760" t="s">
        <v>10164</v>
      </c>
      <c r="B2760" t="s">
        <v>7663</v>
      </c>
      <c r="D2760" t="s">
        <v>4408</v>
      </c>
      <c r="E2760" t="s">
        <v>53</v>
      </c>
      <c r="F2760" t="s">
        <v>4410</v>
      </c>
      <c r="G2760" t="s">
        <v>10167</v>
      </c>
      <c r="H2760" t="str">
        <f>"01454 414342"</f>
        <v>01454 414342</v>
      </c>
    </row>
    <row r="2761" spans="1:8">
      <c r="A2761" t="s">
        <v>10164</v>
      </c>
      <c r="B2761" t="s">
        <v>10185</v>
      </c>
      <c r="D2761" t="s">
        <v>37</v>
      </c>
      <c r="E2761" t="s">
        <v>38</v>
      </c>
      <c r="F2761" t="s">
        <v>10186</v>
      </c>
      <c r="G2761" t="s">
        <v>10167</v>
      </c>
      <c r="H2761" t="str">
        <f>"0143776221"</f>
        <v>0143776221</v>
      </c>
    </row>
    <row r="2762" spans="1:8">
      <c r="A2762" t="s">
        <v>10164</v>
      </c>
      <c r="B2762" t="s">
        <v>10187</v>
      </c>
      <c r="D2762" t="s">
        <v>1864</v>
      </c>
      <c r="E2762" t="s">
        <v>153</v>
      </c>
      <c r="F2762" t="s">
        <v>10188</v>
      </c>
      <c r="G2762" t="s">
        <v>10167</v>
      </c>
      <c r="H2762" t="str">
        <f>"0118 978 1017"</f>
        <v>0118 978 1017</v>
      </c>
    </row>
    <row r="2763" spans="1:8">
      <c r="A2763" t="s">
        <v>10164</v>
      </c>
      <c r="B2763" t="s">
        <v>989</v>
      </c>
      <c r="D2763" t="s">
        <v>10189</v>
      </c>
      <c r="E2763" t="s">
        <v>61</v>
      </c>
      <c r="F2763" t="s">
        <v>10190</v>
      </c>
      <c r="G2763" t="s">
        <v>10167</v>
      </c>
      <c r="H2763" t="str">
        <f>"01174505253"</f>
        <v>01174505253</v>
      </c>
    </row>
    <row r="2764" spans="1:8">
      <c r="A2764" t="s">
        <v>10164</v>
      </c>
      <c r="B2764" t="s">
        <v>10191</v>
      </c>
      <c r="D2764" t="s">
        <v>4005</v>
      </c>
      <c r="F2764" t="s">
        <v>3175</v>
      </c>
      <c r="G2764" t="s">
        <v>10167</v>
      </c>
      <c r="H2764" t="str">
        <f>"01922 646400"</f>
        <v>01922 646400</v>
      </c>
    </row>
    <row r="2765" spans="1:8">
      <c r="A2765" t="s">
        <v>10164</v>
      </c>
      <c r="B2765" t="s">
        <v>10192</v>
      </c>
      <c r="D2765" t="s">
        <v>10193</v>
      </c>
      <c r="E2765" t="s">
        <v>16</v>
      </c>
      <c r="F2765" t="s">
        <v>10194</v>
      </c>
      <c r="G2765" t="s">
        <v>10167</v>
      </c>
      <c r="H2765" t="str">
        <f>"01922 743525"</f>
        <v>01922 743525</v>
      </c>
    </row>
    <row r="2766" spans="1:8">
      <c r="A2766" t="s">
        <v>10164</v>
      </c>
      <c r="B2766" t="s">
        <v>10195</v>
      </c>
      <c r="D2766" t="s">
        <v>466</v>
      </c>
      <c r="E2766" t="s">
        <v>53</v>
      </c>
      <c r="F2766" t="s">
        <v>10196</v>
      </c>
      <c r="G2766" t="s">
        <v>10167</v>
      </c>
      <c r="H2766" t="str">
        <f>"01684 292341"</f>
        <v>01684 292341</v>
      </c>
    </row>
    <row r="2767" spans="1:8">
      <c r="A2767" t="s">
        <v>10164</v>
      </c>
      <c r="B2767" t="s">
        <v>10197</v>
      </c>
      <c r="D2767" t="s">
        <v>94</v>
      </c>
      <c r="F2767" t="s">
        <v>10198</v>
      </c>
      <c r="G2767" t="s">
        <v>10167</v>
      </c>
      <c r="H2767" t="str">
        <f>"01527 871641"</f>
        <v>01527 871641</v>
      </c>
    </row>
    <row r="2768" spans="1:8">
      <c r="A2768" t="s">
        <v>10199</v>
      </c>
      <c r="B2768" t="s">
        <v>10200</v>
      </c>
      <c r="D2768" t="s">
        <v>226</v>
      </c>
      <c r="E2768" t="s">
        <v>227</v>
      </c>
      <c r="F2768" t="s">
        <v>10201</v>
      </c>
      <c r="G2768" t="s">
        <v>10202</v>
      </c>
      <c r="H2768" t="str">
        <f>"01302327257"</f>
        <v>01302327257</v>
      </c>
    </row>
    <row r="2769" spans="1:8">
      <c r="A2769" t="s">
        <v>10199</v>
      </c>
      <c r="B2769" t="s">
        <v>10203</v>
      </c>
      <c r="C2769" t="s">
        <v>2262</v>
      </c>
      <c r="D2769" t="s">
        <v>226</v>
      </c>
      <c r="E2769" t="s">
        <v>227</v>
      </c>
      <c r="F2769" t="s">
        <v>10204</v>
      </c>
      <c r="G2769" t="s">
        <v>10202</v>
      </c>
      <c r="H2769" t="str">
        <f>"01302 354025"</f>
        <v>01302 354025</v>
      </c>
    </row>
    <row r="2770" spans="1:8">
      <c r="A2770" t="s">
        <v>10205</v>
      </c>
      <c r="B2770" t="s">
        <v>10206</v>
      </c>
      <c r="C2770" t="s">
        <v>10207</v>
      </c>
      <c r="D2770" t="s">
        <v>5134</v>
      </c>
      <c r="E2770" t="s">
        <v>1033</v>
      </c>
      <c r="F2770" t="s">
        <v>10208</v>
      </c>
      <c r="G2770" t="s">
        <v>10209</v>
      </c>
      <c r="H2770" t="str">
        <f>"0333 323 1091"</f>
        <v>0333 323 1091</v>
      </c>
    </row>
    <row r="2771" spans="1:8">
      <c r="A2771" t="s">
        <v>10205</v>
      </c>
      <c r="B2771" t="s">
        <v>10210</v>
      </c>
      <c r="D2771" t="s">
        <v>10211</v>
      </c>
      <c r="E2771" t="s">
        <v>303</v>
      </c>
      <c r="F2771" t="s">
        <v>10212</v>
      </c>
      <c r="G2771" t="s">
        <v>10213</v>
      </c>
      <c r="H2771" t="str">
        <f>"03333231091"</f>
        <v>03333231091</v>
      </c>
    </row>
    <row r="2772" spans="1:8">
      <c r="A2772" t="s">
        <v>10205</v>
      </c>
      <c r="B2772" t="s">
        <v>10215</v>
      </c>
      <c r="D2772" t="s">
        <v>10214</v>
      </c>
      <c r="E2772" t="s">
        <v>340</v>
      </c>
      <c r="F2772" t="s">
        <v>10216</v>
      </c>
      <c r="G2772" t="s">
        <v>10213</v>
      </c>
      <c r="H2772" t="str">
        <f>"03333231091"</f>
        <v>03333231091</v>
      </c>
    </row>
    <row r="2773" spans="1:8">
      <c r="A2773" t="s">
        <v>10217</v>
      </c>
      <c r="B2773" t="s">
        <v>10218</v>
      </c>
      <c r="D2773" t="s">
        <v>3588</v>
      </c>
      <c r="E2773" t="s">
        <v>410</v>
      </c>
      <c r="F2773" t="s">
        <v>10219</v>
      </c>
      <c r="G2773" t="s">
        <v>10220</v>
      </c>
      <c r="H2773" t="str">
        <f>"01636 671881"</f>
        <v>01636 671881</v>
      </c>
    </row>
    <row r="2774" spans="1:8">
      <c r="A2774" t="s">
        <v>10217</v>
      </c>
      <c r="B2774" t="s">
        <v>10221</v>
      </c>
      <c r="D2774" t="s">
        <v>10222</v>
      </c>
      <c r="E2774" t="s">
        <v>410</v>
      </c>
      <c r="F2774" t="s">
        <v>10223</v>
      </c>
      <c r="G2774" t="s">
        <v>10224</v>
      </c>
      <c r="H2774" t="str">
        <f>"01636 813411"</f>
        <v>01636 813411</v>
      </c>
    </row>
    <row r="2775" spans="1:8">
      <c r="A2775" t="s">
        <v>10217</v>
      </c>
      <c r="B2775" t="s">
        <v>10225</v>
      </c>
      <c r="D2775" t="s">
        <v>2739</v>
      </c>
      <c r="E2775" t="s">
        <v>410</v>
      </c>
      <c r="F2775" t="s">
        <v>10226</v>
      </c>
      <c r="G2775" t="s">
        <v>10227</v>
      </c>
      <c r="H2775" t="str">
        <f>"01623 666700"</f>
        <v>01623 666700</v>
      </c>
    </row>
    <row r="2776" spans="1:8">
      <c r="A2776" t="s">
        <v>10228</v>
      </c>
      <c r="B2776" t="s">
        <v>10229</v>
      </c>
      <c r="C2776" t="s">
        <v>10230</v>
      </c>
      <c r="D2776" t="s">
        <v>10231</v>
      </c>
      <c r="E2776" t="s">
        <v>187</v>
      </c>
      <c r="F2776" t="s">
        <v>10232</v>
      </c>
      <c r="G2776" t="s">
        <v>10233</v>
      </c>
      <c r="H2776" t="str">
        <f>"01908 018390"</f>
        <v>01908 018390</v>
      </c>
    </row>
    <row r="2777" spans="1:8">
      <c r="A2777" t="s">
        <v>10234</v>
      </c>
      <c r="B2777" t="s">
        <v>10235</v>
      </c>
      <c r="D2777" t="s">
        <v>658</v>
      </c>
      <c r="E2777" t="s">
        <v>315</v>
      </c>
      <c r="F2777" t="s">
        <v>10236</v>
      </c>
      <c r="G2777" t="s">
        <v>10237</v>
      </c>
      <c r="H2777" t="str">
        <f>"01606780400"</f>
        <v>01606780400</v>
      </c>
    </row>
    <row r="2778" spans="1:8">
      <c r="A2778" t="s">
        <v>10234</v>
      </c>
      <c r="B2778" t="s">
        <v>10238</v>
      </c>
      <c r="C2778" t="s">
        <v>5719</v>
      </c>
      <c r="D2778" t="s">
        <v>5716</v>
      </c>
      <c r="F2778" t="s">
        <v>10239</v>
      </c>
      <c r="G2778" t="s">
        <v>10240</v>
      </c>
      <c r="H2778" t="str">
        <f>"01925 359005"</f>
        <v>01925 359005</v>
      </c>
    </row>
    <row r="2779" spans="1:8">
      <c r="A2779" t="s">
        <v>10241</v>
      </c>
      <c r="B2779" t="s">
        <v>10242</v>
      </c>
      <c r="C2779" t="s">
        <v>10243</v>
      </c>
      <c r="D2779" t="s">
        <v>187</v>
      </c>
      <c r="F2779" t="s">
        <v>10244</v>
      </c>
      <c r="G2779" t="s">
        <v>10245</v>
      </c>
      <c r="H2779" t="str">
        <f>"01908410703"</f>
        <v>01908410703</v>
      </c>
    </row>
    <row r="2780" spans="1:8">
      <c r="A2780" t="s">
        <v>10246</v>
      </c>
      <c r="B2780" t="s">
        <v>10247</v>
      </c>
      <c r="C2780" t="s">
        <v>10248</v>
      </c>
      <c r="D2780" t="s">
        <v>2178</v>
      </c>
      <c r="E2780" t="s">
        <v>730</v>
      </c>
      <c r="F2780" t="s">
        <v>10249</v>
      </c>
      <c r="G2780" t="s">
        <v>10250</v>
      </c>
      <c r="H2780" t="str">
        <f>"0345 209 4716"</f>
        <v>0345 209 4716</v>
      </c>
    </row>
    <row r="2781" spans="1:8">
      <c r="A2781" t="s">
        <v>10251</v>
      </c>
      <c r="B2781" t="s">
        <v>10252</v>
      </c>
      <c r="D2781" t="s">
        <v>10253</v>
      </c>
      <c r="E2781" t="s">
        <v>369</v>
      </c>
      <c r="F2781" t="s">
        <v>10254</v>
      </c>
      <c r="G2781" t="s">
        <v>10255</v>
      </c>
      <c r="H2781" t="str">
        <f>"01480 409155"</f>
        <v>01480 409155</v>
      </c>
    </row>
    <row r="2782" spans="1:8">
      <c r="A2782" t="s">
        <v>10251</v>
      </c>
      <c r="B2782" t="s">
        <v>10256</v>
      </c>
      <c r="C2782" t="s">
        <v>10257</v>
      </c>
      <c r="D2782" t="s">
        <v>10258</v>
      </c>
      <c r="E2782" t="s">
        <v>893</v>
      </c>
      <c r="F2782" t="s">
        <v>10259</v>
      </c>
      <c r="G2782" t="s">
        <v>10260</v>
      </c>
      <c r="H2782" t="str">
        <f>"01704511300"</f>
        <v>01704511300</v>
      </c>
    </row>
    <row r="2783" spans="1:8">
      <c r="A2783" t="s">
        <v>10251</v>
      </c>
      <c r="B2783" t="s">
        <v>10261</v>
      </c>
      <c r="C2783" t="s">
        <v>10262</v>
      </c>
      <c r="D2783" t="s">
        <v>10263</v>
      </c>
      <c r="E2783" t="s">
        <v>1458</v>
      </c>
      <c r="F2783" t="s">
        <v>10264</v>
      </c>
      <c r="G2783" t="s">
        <v>10265</v>
      </c>
      <c r="H2783" t="str">
        <f>"01913 381778"</f>
        <v>01913 381778</v>
      </c>
    </row>
    <row r="2784" spans="1:8">
      <c r="A2784" t="s">
        <v>10266</v>
      </c>
      <c r="B2784" t="s">
        <v>10267</v>
      </c>
      <c r="D2784" t="s">
        <v>1256</v>
      </c>
      <c r="E2784" t="s">
        <v>280</v>
      </c>
      <c r="F2784" t="s">
        <v>10268</v>
      </c>
      <c r="G2784" t="s">
        <v>10269</v>
      </c>
      <c r="H2784" t="str">
        <f>"01484483800"</f>
        <v>01484483800</v>
      </c>
    </row>
    <row r="2785" spans="1:8">
      <c r="A2785" t="s">
        <v>10266</v>
      </c>
      <c r="B2785" t="s">
        <v>10270</v>
      </c>
      <c r="D2785" t="s">
        <v>1520</v>
      </c>
      <c r="E2785" t="s">
        <v>280</v>
      </c>
      <c r="F2785" t="s">
        <v>10271</v>
      </c>
      <c r="G2785" t="s">
        <v>10269</v>
      </c>
      <c r="H2785" t="str">
        <f>"01422 339600"</f>
        <v>01422 339600</v>
      </c>
    </row>
    <row r="2786" spans="1:8">
      <c r="A2786" t="s">
        <v>10266</v>
      </c>
      <c r="B2786" t="s">
        <v>10272</v>
      </c>
      <c r="D2786" t="s">
        <v>2751</v>
      </c>
      <c r="E2786" t="s">
        <v>280</v>
      </c>
      <c r="F2786" t="s">
        <v>10273</v>
      </c>
      <c r="G2786" t="s">
        <v>10274</v>
      </c>
      <c r="H2786" t="str">
        <f>"01484 710571"</f>
        <v>01484 710571</v>
      </c>
    </row>
    <row r="2787" spans="1:8">
      <c r="A2787" t="s">
        <v>10275</v>
      </c>
      <c r="B2787" t="s">
        <v>10276</v>
      </c>
      <c r="D2787" t="s">
        <v>14</v>
      </c>
      <c r="E2787" t="s">
        <v>16</v>
      </c>
      <c r="F2787" t="s">
        <v>5540</v>
      </c>
      <c r="G2787" t="s">
        <v>10277</v>
      </c>
      <c r="H2787" t="str">
        <f>"01217862555"</f>
        <v>01217862555</v>
      </c>
    </row>
    <row r="2788" spans="1:8">
      <c r="A2788" t="s">
        <v>10278</v>
      </c>
      <c r="B2788" t="s">
        <v>10279</v>
      </c>
      <c r="C2788" t="s">
        <v>10280</v>
      </c>
      <c r="D2788" t="s">
        <v>4050</v>
      </c>
      <c r="E2788" t="s">
        <v>3140</v>
      </c>
      <c r="F2788" t="s">
        <v>10281</v>
      </c>
      <c r="G2788" t="s">
        <v>10282</v>
      </c>
      <c r="H2788" t="str">
        <f>"01495303124"</f>
        <v>01495303124</v>
      </c>
    </row>
    <row r="2789" spans="1:8">
      <c r="A2789" t="s">
        <v>10283</v>
      </c>
      <c r="B2789" t="s">
        <v>10284</v>
      </c>
      <c r="D2789" t="s">
        <v>5716</v>
      </c>
      <c r="E2789" t="s">
        <v>315</v>
      </c>
      <c r="F2789" t="s">
        <v>10285</v>
      </c>
      <c r="G2789" t="s">
        <v>10286</v>
      </c>
      <c r="H2789" t="str">
        <f>"01925571212"</f>
        <v>01925571212</v>
      </c>
    </row>
    <row r="2790" spans="1:8">
      <c r="A2790" t="s">
        <v>10287</v>
      </c>
      <c r="B2790" t="s">
        <v>10288</v>
      </c>
      <c r="D2790" t="s">
        <v>774</v>
      </c>
      <c r="E2790" t="s">
        <v>775</v>
      </c>
      <c r="F2790" t="s">
        <v>10289</v>
      </c>
      <c r="G2790" t="s">
        <v>10290</v>
      </c>
      <c r="H2790" t="str">
        <f>"01162858080"</f>
        <v>01162858080</v>
      </c>
    </row>
    <row r="2791" spans="1:8">
      <c r="A2791" t="s">
        <v>10287</v>
      </c>
      <c r="B2791" t="s">
        <v>10291</v>
      </c>
      <c r="C2791" t="s">
        <v>10292</v>
      </c>
      <c r="D2791" t="s">
        <v>774</v>
      </c>
      <c r="F2791" t="s">
        <v>10293</v>
      </c>
      <c r="G2791" t="s">
        <v>10294</v>
      </c>
      <c r="H2791" t="str">
        <f>"0116 276 8000"</f>
        <v>0116 276 8000</v>
      </c>
    </row>
    <row r="2792" spans="1:8">
      <c r="A2792" t="s">
        <v>10295</v>
      </c>
      <c r="B2792" t="s">
        <v>10296</v>
      </c>
      <c r="D2792" t="s">
        <v>10297</v>
      </c>
      <c r="E2792" t="s">
        <v>171</v>
      </c>
      <c r="F2792" t="s">
        <v>10298</v>
      </c>
      <c r="G2792" t="s">
        <v>10299</v>
      </c>
      <c r="H2792" t="str">
        <f>"02084026222"</f>
        <v>02084026222</v>
      </c>
    </row>
    <row r="2793" spans="1:8">
      <c r="A2793" t="s">
        <v>10295</v>
      </c>
      <c r="B2793" t="s">
        <v>10300</v>
      </c>
      <c r="D2793" t="s">
        <v>9015</v>
      </c>
      <c r="E2793" t="s">
        <v>171</v>
      </c>
      <c r="F2793" t="s">
        <v>10301</v>
      </c>
      <c r="G2793" t="s">
        <v>10299</v>
      </c>
      <c r="H2793" t="str">
        <f>"020 8402 7222"</f>
        <v>020 8402 7222</v>
      </c>
    </row>
    <row r="2794" spans="1:8">
      <c r="A2794" t="s">
        <v>10302</v>
      </c>
      <c r="B2794" t="s">
        <v>10303</v>
      </c>
      <c r="D2794" t="s">
        <v>770</v>
      </c>
      <c r="E2794" t="s">
        <v>132</v>
      </c>
      <c r="F2794" t="s">
        <v>10304</v>
      </c>
      <c r="G2794" t="s">
        <v>10305</v>
      </c>
      <c r="H2794" t="str">
        <f>"01617989000"</f>
        <v>01617989000</v>
      </c>
    </row>
    <row r="2795" spans="1:8">
      <c r="A2795" t="s">
        <v>10302</v>
      </c>
      <c r="B2795" t="s">
        <v>10306</v>
      </c>
      <c r="C2795" t="s">
        <v>819</v>
      </c>
      <c r="D2795" t="s">
        <v>297</v>
      </c>
      <c r="F2795" t="s">
        <v>10307</v>
      </c>
      <c r="G2795" t="s">
        <v>10305</v>
      </c>
      <c r="H2795" t="str">
        <f>"0161 798 9000"</f>
        <v>0161 798 9000</v>
      </c>
    </row>
    <row r="2796" spans="1:8">
      <c r="A2796" t="s">
        <v>10302</v>
      </c>
      <c r="B2796" t="s">
        <v>10308</v>
      </c>
      <c r="C2796" t="s">
        <v>6862</v>
      </c>
      <c r="D2796" t="s">
        <v>770</v>
      </c>
      <c r="E2796" t="s">
        <v>132</v>
      </c>
      <c r="F2796" t="s">
        <v>10309</v>
      </c>
      <c r="G2796" t="s">
        <v>10305</v>
      </c>
      <c r="H2796" t="str">
        <f>"0161 798 9000"</f>
        <v>0161 798 9000</v>
      </c>
    </row>
    <row r="2797" spans="1:8">
      <c r="A2797" t="s">
        <v>10310</v>
      </c>
      <c r="B2797" t="s">
        <v>10311</v>
      </c>
      <c r="D2797" t="s">
        <v>334</v>
      </c>
      <c r="F2797" t="s">
        <v>10312</v>
      </c>
      <c r="G2797" t="s">
        <v>10313</v>
      </c>
      <c r="H2797" t="str">
        <f>"01256 320555"</f>
        <v>01256 320555</v>
      </c>
    </row>
    <row r="2798" spans="1:8">
      <c r="A2798" t="s">
        <v>10314</v>
      </c>
      <c r="B2798" t="s">
        <v>10315</v>
      </c>
      <c r="C2798" t="s">
        <v>6862</v>
      </c>
      <c r="D2798" t="s">
        <v>770</v>
      </c>
      <c r="E2798" t="s">
        <v>132</v>
      </c>
      <c r="F2798" t="s">
        <v>10316</v>
      </c>
      <c r="G2798" t="s">
        <v>10317</v>
      </c>
      <c r="H2798" t="str">
        <f>"01706827042"</f>
        <v>01706827042</v>
      </c>
    </row>
    <row r="2799" spans="1:8">
      <c r="A2799" t="s">
        <v>10318</v>
      </c>
      <c r="B2799" t="s">
        <v>10319</v>
      </c>
      <c r="D2799" t="s">
        <v>505</v>
      </c>
      <c r="E2799" t="s">
        <v>502</v>
      </c>
      <c r="F2799" t="s">
        <v>10320</v>
      </c>
      <c r="G2799" t="s">
        <v>10321</v>
      </c>
      <c r="H2799" t="str">
        <f>"01903 369959"</f>
        <v>01903 369959</v>
      </c>
    </row>
    <row r="2800" spans="1:8">
      <c r="A2800" t="s">
        <v>10318</v>
      </c>
      <c r="B2800" t="s">
        <v>10322</v>
      </c>
      <c r="D2800" t="s">
        <v>76</v>
      </c>
      <c r="E2800" t="s">
        <v>520</v>
      </c>
      <c r="F2800" t="s">
        <v>10323</v>
      </c>
      <c r="G2800" t="s">
        <v>10321</v>
      </c>
      <c r="H2800" t="str">
        <f>"01273 525766"</f>
        <v>01273 525766</v>
      </c>
    </row>
    <row r="2801" spans="1:8">
      <c r="A2801" t="s">
        <v>10318</v>
      </c>
      <c r="B2801" t="s">
        <v>10324</v>
      </c>
      <c r="D2801" t="s">
        <v>88</v>
      </c>
      <c r="F2801" t="s">
        <v>10325</v>
      </c>
      <c r="G2801" t="s">
        <v>10321</v>
      </c>
      <c r="H2801" t="str">
        <f>"01323 406080"</f>
        <v>01323 406080</v>
      </c>
    </row>
    <row r="2802" spans="1:8">
      <c r="A2802" t="s">
        <v>10318</v>
      </c>
      <c r="B2802" t="s">
        <v>10326</v>
      </c>
      <c r="D2802" t="s">
        <v>1779</v>
      </c>
      <c r="F2802" t="s">
        <v>10327</v>
      </c>
      <c r="G2802" t="s">
        <v>10328</v>
      </c>
      <c r="H2802" t="str">
        <f>"01243969247"</f>
        <v>01243969247</v>
      </c>
    </row>
    <row r="2803" spans="1:8">
      <c r="A2803" t="s">
        <v>10318</v>
      </c>
      <c r="B2803" t="s">
        <v>10329</v>
      </c>
      <c r="C2803" t="s">
        <v>10330</v>
      </c>
      <c r="D2803" t="s">
        <v>10331</v>
      </c>
      <c r="E2803" t="s">
        <v>10332</v>
      </c>
      <c r="F2803" t="s">
        <v>10333</v>
      </c>
      <c r="G2803" t="s">
        <v>10334</v>
      </c>
      <c r="H2803" t="str">
        <f>"01273 483 455"</f>
        <v>01273 483 455</v>
      </c>
    </row>
    <row r="2804" spans="1:8">
      <c r="A2804" t="s">
        <v>10335</v>
      </c>
      <c r="B2804" t="s">
        <v>10336</v>
      </c>
      <c r="D2804" t="s">
        <v>14</v>
      </c>
      <c r="F2804" t="s">
        <v>10337</v>
      </c>
      <c r="G2804" t="s">
        <v>10338</v>
      </c>
      <c r="H2804" t="str">
        <f>"01216225020"</f>
        <v>01216225020</v>
      </c>
    </row>
    <row r="2805" spans="1:8">
      <c r="A2805" t="s">
        <v>10339</v>
      </c>
      <c r="B2805" t="s">
        <v>10340</v>
      </c>
      <c r="C2805" t="s">
        <v>10341</v>
      </c>
      <c r="D2805" t="s">
        <v>187</v>
      </c>
      <c r="E2805" t="s">
        <v>990</v>
      </c>
      <c r="F2805" t="s">
        <v>10342</v>
      </c>
      <c r="G2805" t="s">
        <v>10343</v>
      </c>
      <c r="H2805" t="str">
        <f>"01908 061100"</f>
        <v>01908 061100</v>
      </c>
    </row>
    <row r="2806" spans="1:8">
      <c r="A2806" t="s">
        <v>10344</v>
      </c>
      <c r="B2806" t="s">
        <v>10345</v>
      </c>
      <c r="D2806" t="s">
        <v>146</v>
      </c>
      <c r="E2806" t="s">
        <v>280</v>
      </c>
      <c r="F2806" t="s">
        <v>10346</v>
      </c>
      <c r="G2806" t="s">
        <v>10347</v>
      </c>
      <c r="H2806" t="str">
        <f>"01924 439106"</f>
        <v>01924 439106</v>
      </c>
    </row>
    <row r="2807" spans="1:8">
      <c r="A2807" t="s">
        <v>10348</v>
      </c>
      <c r="B2807" t="s">
        <v>10349</v>
      </c>
      <c r="D2807" t="s">
        <v>226</v>
      </c>
      <c r="E2807" t="s">
        <v>227</v>
      </c>
      <c r="F2807" t="s">
        <v>10350</v>
      </c>
      <c r="G2807" t="s">
        <v>10351</v>
      </c>
      <c r="H2807" t="str">
        <f>"01302 329504"</f>
        <v>01302 329504</v>
      </c>
    </row>
    <row r="2808" spans="1:8">
      <c r="A2808" t="s">
        <v>10352</v>
      </c>
      <c r="B2808" t="s">
        <v>10353</v>
      </c>
      <c r="D2808" t="s">
        <v>3431</v>
      </c>
      <c r="E2808" t="s">
        <v>171</v>
      </c>
      <c r="F2808" t="s">
        <v>10354</v>
      </c>
      <c r="G2808" t="s">
        <v>10355</v>
      </c>
      <c r="H2808" t="str">
        <f>"0208 290 0440"</f>
        <v>0208 290 0440</v>
      </c>
    </row>
    <row r="2809" spans="1:8">
      <c r="A2809" t="s">
        <v>10352</v>
      </c>
      <c r="B2809" t="s">
        <v>5734</v>
      </c>
      <c r="D2809" t="s">
        <v>10356</v>
      </c>
      <c r="E2809" t="s">
        <v>171</v>
      </c>
      <c r="F2809" t="s">
        <v>10357</v>
      </c>
      <c r="G2809" t="s">
        <v>10355</v>
      </c>
      <c r="H2809" t="str">
        <f>"0208 777 6698"</f>
        <v>0208 777 6698</v>
      </c>
    </row>
    <row r="2810" spans="1:8">
      <c r="A2810" t="s">
        <v>10352</v>
      </c>
      <c r="B2810" t="s">
        <v>10358</v>
      </c>
      <c r="D2810" t="s">
        <v>2540</v>
      </c>
      <c r="E2810" t="s">
        <v>171</v>
      </c>
      <c r="F2810" t="s">
        <v>2693</v>
      </c>
      <c r="G2810" t="s">
        <v>10355</v>
      </c>
      <c r="H2810" t="str">
        <f>"01732 496496"</f>
        <v>01732 496496</v>
      </c>
    </row>
    <row r="2811" spans="1:8">
      <c r="A2811" t="s">
        <v>10352</v>
      </c>
      <c r="B2811" t="s">
        <v>6115</v>
      </c>
      <c r="D2811" t="s">
        <v>57</v>
      </c>
      <c r="E2811" t="s">
        <v>57</v>
      </c>
      <c r="F2811" t="s">
        <v>6116</v>
      </c>
      <c r="G2811" t="s">
        <v>10355</v>
      </c>
      <c r="H2811" t="str">
        <f>"020 8290 0440"</f>
        <v>020 8290 0440</v>
      </c>
    </row>
    <row r="2812" spans="1:8">
      <c r="A2812" t="s">
        <v>10359</v>
      </c>
      <c r="B2812" t="s">
        <v>10360</v>
      </c>
      <c r="C2812" t="s">
        <v>10361</v>
      </c>
      <c r="D2812" t="s">
        <v>409</v>
      </c>
      <c r="F2812" t="s">
        <v>10362</v>
      </c>
      <c r="G2812" t="s">
        <v>10363</v>
      </c>
      <c r="H2812" t="str">
        <f>"0333 0232250"</f>
        <v>0333 0232250</v>
      </c>
    </row>
    <row r="2813" spans="1:8">
      <c r="A2813" t="s">
        <v>10364</v>
      </c>
      <c r="B2813" t="s">
        <v>10365</v>
      </c>
      <c r="D2813" t="s">
        <v>10366</v>
      </c>
      <c r="E2813" t="s">
        <v>369</v>
      </c>
      <c r="F2813" t="s">
        <v>10367</v>
      </c>
      <c r="G2813" t="s">
        <v>10368</v>
      </c>
      <c r="H2813" t="str">
        <f>"01733 295612"</f>
        <v>01733 295612</v>
      </c>
    </row>
    <row r="2814" spans="1:8">
      <c r="A2814" t="s">
        <v>10364</v>
      </c>
      <c r="B2814" t="s">
        <v>10369</v>
      </c>
      <c r="D2814" t="s">
        <v>372</v>
      </c>
      <c r="E2814" t="s">
        <v>10370</v>
      </c>
      <c r="F2814" t="s">
        <v>10371</v>
      </c>
      <c r="G2814" t="s">
        <v>10368</v>
      </c>
      <c r="H2814" t="str">
        <f>"01780 752066"</f>
        <v>01780 752066</v>
      </c>
    </row>
    <row r="2815" spans="1:8">
      <c r="A2815" t="s">
        <v>10364</v>
      </c>
      <c r="B2815" t="s">
        <v>10372</v>
      </c>
      <c r="D2815" t="s">
        <v>5465</v>
      </c>
      <c r="E2815" t="s">
        <v>5466</v>
      </c>
      <c r="F2815" t="s">
        <v>10373</v>
      </c>
      <c r="G2815" t="s">
        <v>10368</v>
      </c>
      <c r="H2815" t="str">
        <f>"01572 757565"</f>
        <v>01572 757565</v>
      </c>
    </row>
    <row r="2816" spans="1:8">
      <c r="A2816" t="s">
        <v>10364</v>
      </c>
      <c r="B2816" t="s">
        <v>10375</v>
      </c>
      <c r="D2816" t="s">
        <v>10374</v>
      </c>
      <c r="E2816" t="s">
        <v>368</v>
      </c>
      <c r="F2816" t="s">
        <v>10376</v>
      </c>
      <c r="G2816" t="s">
        <v>10377</v>
      </c>
      <c r="H2816" t="str">
        <f>"01778230120"</f>
        <v>01778230120</v>
      </c>
    </row>
    <row r="2817" spans="1:8">
      <c r="A2817" t="s">
        <v>10378</v>
      </c>
      <c r="B2817" t="s">
        <v>10379</v>
      </c>
      <c r="D2817" t="s">
        <v>1644</v>
      </c>
      <c r="E2817" t="s">
        <v>164</v>
      </c>
      <c r="F2817" t="s">
        <v>10380</v>
      </c>
      <c r="G2817" t="s">
        <v>10381</v>
      </c>
      <c r="H2817" t="str">
        <f>"01258446288"</f>
        <v>01258446288</v>
      </c>
    </row>
    <row r="2818" spans="1:8">
      <c r="A2818" t="s">
        <v>10378</v>
      </c>
      <c r="B2818" t="s">
        <v>10382</v>
      </c>
      <c r="D2818" t="s">
        <v>1644</v>
      </c>
      <c r="F2818" t="s">
        <v>10383</v>
      </c>
      <c r="G2818" t="s">
        <v>10384</v>
      </c>
      <c r="H2818" t="str">
        <f>"01258 446288"</f>
        <v>01258 446288</v>
      </c>
    </row>
    <row r="2819" spans="1:8">
      <c r="A2819" t="s">
        <v>10378</v>
      </c>
      <c r="B2819" t="s">
        <v>10385</v>
      </c>
      <c r="D2819" t="s">
        <v>2928</v>
      </c>
      <c r="F2819" t="s">
        <v>10386</v>
      </c>
      <c r="G2819" t="s">
        <v>10387</v>
      </c>
      <c r="H2819" t="str">
        <f>"0172 2441759"</f>
        <v>0172 2441759</v>
      </c>
    </row>
    <row r="2820" spans="1:8">
      <c r="A2820" t="s">
        <v>10388</v>
      </c>
      <c r="B2820" t="s">
        <v>10389</v>
      </c>
      <c r="D2820" t="s">
        <v>1313</v>
      </c>
      <c r="E2820" t="s">
        <v>132</v>
      </c>
      <c r="F2820" t="s">
        <v>10390</v>
      </c>
      <c r="G2820" t="s">
        <v>10391</v>
      </c>
      <c r="H2820" t="str">
        <f>"01942 243281"</f>
        <v>01942 243281</v>
      </c>
    </row>
    <row r="2821" spans="1:8">
      <c r="A2821" t="s">
        <v>10388</v>
      </c>
      <c r="B2821" t="s">
        <v>10392</v>
      </c>
      <c r="C2821" t="s">
        <v>10393</v>
      </c>
      <c r="D2821" t="s">
        <v>1313</v>
      </c>
      <c r="E2821" t="s">
        <v>2112</v>
      </c>
      <c r="F2821" t="s">
        <v>10394</v>
      </c>
      <c r="G2821" t="s">
        <v>10395</v>
      </c>
      <c r="H2821" t="str">
        <f>"01257 402430"</f>
        <v>01257 402430</v>
      </c>
    </row>
    <row r="2822" spans="1:8">
      <c r="A2822" t="s">
        <v>10396</v>
      </c>
      <c r="B2822" t="s">
        <v>7663</v>
      </c>
      <c r="D2822" t="s">
        <v>10397</v>
      </c>
      <c r="E2822" t="s">
        <v>53</v>
      </c>
      <c r="F2822" t="s">
        <v>10398</v>
      </c>
      <c r="G2822" t="s">
        <v>10399</v>
      </c>
      <c r="H2822" t="str">
        <f>"01453 791461"</f>
        <v>01453 791461</v>
      </c>
    </row>
    <row r="2823" spans="1:8">
      <c r="A2823" t="s">
        <v>10400</v>
      </c>
      <c r="B2823" t="s">
        <v>10401</v>
      </c>
      <c r="C2823" t="s">
        <v>7531</v>
      </c>
      <c r="D2823" t="s">
        <v>1426</v>
      </c>
      <c r="E2823" t="s">
        <v>3490</v>
      </c>
      <c r="F2823" t="s">
        <v>2730</v>
      </c>
      <c r="G2823" t="s">
        <v>10402</v>
      </c>
      <c r="H2823" t="str">
        <f>"01482 325242"</f>
        <v>01482 325242</v>
      </c>
    </row>
    <row r="2824" spans="1:8">
      <c r="A2824" t="s">
        <v>10400</v>
      </c>
      <c r="B2824" t="s">
        <v>10403</v>
      </c>
      <c r="D2824" t="s">
        <v>615</v>
      </c>
      <c r="E2824" t="s">
        <v>616</v>
      </c>
      <c r="F2824" t="s">
        <v>10404</v>
      </c>
      <c r="G2824" t="s">
        <v>10402</v>
      </c>
      <c r="H2824" t="str">
        <f>"01904 275 250"</f>
        <v>01904 275 250</v>
      </c>
    </row>
    <row r="2825" spans="1:8">
      <c r="A2825" t="s">
        <v>10400</v>
      </c>
      <c r="B2825" t="s">
        <v>10405</v>
      </c>
      <c r="C2825" t="s">
        <v>10406</v>
      </c>
      <c r="D2825" t="s">
        <v>3474</v>
      </c>
      <c r="E2825" t="s">
        <v>616</v>
      </c>
      <c r="F2825" t="s">
        <v>10407</v>
      </c>
      <c r="G2825" t="s">
        <v>10402</v>
      </c>
      <c r="H2825" t="str">
        <f>"01723 882 500"</f>
        <v>01723 882 500</v>
      </c>
    </row>
    <row r="2826" spans="1:8">
      <c r="A2826" t="s">
        <v>10408</v>
      </c>
      <c r="B2826" t="s">
        <v>10409</v>
      </c>
      <c r="D2826" t="s">
        <v>4291</v>
      </c>
      <c r="E2826" t="s">
        <v>775</v>
      </c>
      <c r="F2826" t="s">
        <v>10410</v>
      </c>
      <c r="G2826" t="s">
        <v>10411</v>
      </c>
      <c r="H2826" t="str">
        <f>"01455 619 322"</f>
        <v>01455 619 322</v>
      </c>
    </row>
    <row r="2827" spans="1:8">
      <c r="A2827" t="s">
        <v>10408</v>
      </c>
      <c r="B2827" t="s">
        <v>10412</v>
      </c>
      <c r="D2827" t="s">
        <v>6721</v>
      </c>
      <c r="E2827" t="s">
        <v>236</v>
      </c>
      <c r="F2827" t="s">
        <v>10413</v>
      </c>
      <c r="G2827" t="s">
        <v>10414</v>
      </c>
      <c r="H2827" t="str">
        <f>"01782 717888"</f>
        <v>01782 717888</v>
      </c>
    </row>
    <row r="2828" spans="1:8">
      <c r="A2828" t="s">
        <v>10408</v>
      </c>
      <c r="B2828" t="s">
        <v>10415</v>
      </c>
      <c r="D2828" t="s">
        <v>14</v>
      </c>
      <c r="F2828" t="s">
        <v>10416</v>
      </c>
      <c r="G2828" t="s">
        <v>10411</v>
      </c>
      <c r="H2828" t="str">
        <f>"01215147111"</f>
        <v>01215147111</v>
      </c>
    </row>
    <row r="2829" spans="1:8">
      <c r="A2829" t="s">
        <v>10408</v>
      </c>
      <c r="B2829" t="s">
        <v>10417</v>
      </c>
      <c r="D2829" t="s">
        <v>10418</v>
      </c>
      <c r="F2829" t="s">
        <v>10419</v>
      </c>
      <c r="G2829" t="s">
        <v>10420</v>
      </c>
      <c r="H2829" t="str">
        <f>"01926 289021"</f>
        <v>01926 289021</v>
      </c>
    </row>
    <row r="2830" spans="1:8">
      <c r="A2830" t="s">
        <v>10408</v>
      </c>
      <c r="B2830" t="s">
        <v>10421</v>
      </c>
      <c r="C2830" t="s">
        <v>4570</v>
      </c>
      <c r="D2830" t="s">
        <v>14</v>
      </c>
      <c r="F2830" t="s">
        <v>10422</v>
      </c>
      <c r="G2830" t="s">
        <v>10411</v>
      </c>
      <c r="H2830" t="str">
        <f>"01216617700"</f>
        <v>01216617700</v>
      </c>
    </row>
    <row r="2831" spans="1:8">
      <c r="A2831" t="s">
        <v>10423</v>
      </c>
      <c r="B2831" t="s">
        <v>10424</v>
      </c>
      <c r="C2831" t="s">
        <v>10425</v>
      </c>
      <c r="D2831" t="s">
        <v>1190</v>
      </c>
      <c r="E2831" t="s">
        <v>397</v>
      </c>
      <c r="F2831" t="s">
        <v>10426</v>
      </c>
      <c r="G2831" t="s">
        <v>10427</v>
      </c>
      <c r="H2831" t="str">
        <f>"01234 831660"</f>
        <v>01234 831660</v>
      </c>
    </row>
    <row r="2832" spans="1:8">
      <c r="A2832" t="s">
        <v>10428</v>
      </c>
      <c r="B2832" t="s">
        <v>10429</v>
      </c>
      <c r="D2832" t="s">
        <v>5154</v>
      </c>
      <c r="E2832" t="s">
        <v>893</v>
      </c>
      <c r="F2832" t="s">
        <v>10430</v>
      </c>
      <c r="G2832" t="s">
        <v>10431</v>
      </c>
      <c r="H2832" t="str">
        <f>"01516398273"</f>
        <v>01516398273</v>
      </c>
    </row>
    <row r="2833" spans="1:8">
      <c r="A2833" t="s">
        <v>10432</v>
      </c>
      <c r="B2833" t="s">
        <v>10433</v>
      </c>
      <c r="D2833" t="s">
        <v>674</v>
      </c>
      <c r="E2833" t="s">
        <v>280</v>
      </c>
      <c r="F2833" t="s">
        <v>10434</v>
      </c>
      <c r="G2833" t="s">
        <v>10435</v>
      </c>
      <c r="H2833" t="str">
        <f>"01274 371978"</f>
        <v>01274 371978</v>
      </c>
    </row>
    <row r="2834" spans="1:8">
      <c r="A2834" t="s">
        <v>10436</v>
      </c>
      <c r="B2834" t="s">
        <v>10437</v>
      </c>
      <c r="C2834" t="s">
        <v>10438</v>
      </c>
      <c r="D2834" t="s">
        <v>674</v>
      </c>
      <c r="E2834" t="s">
        <v>280</v>
      </c>
      <c r="F2834" t="s">
        <v>10439</v>
      </c>
      <c r="G2834" t="s">
        <v>10440</v>
      </c>
      <c r="H2834" t="str">
        <f>"01274 288807"</f>
        <v>01274 288807</v>
      </c>
    </row>
    <row r="2835" spans="1:8">
      <c r="A2835" t="s">
        <v>10441</v>
      </c>
      <c r="B2835" t="s">
        <v>10442</v>
      </c>
      <c r="C2835" t="s">
        <v>10443</v>
      </c>
      <c r="D2835" t="s">
        <v>1779</v>
      </c>
      <c r="F2835" t="s">
        <v>10444</v>
      </c>
      <c r="G2835" t="s">
        <v>10445</v>
      </c>
      <c r="H2835" t="str">
        <f>"01243 769016"</f>
        <v>01243 769016</v>
      </c>
    </row>
    <row r="2836" spans="1:8">
      <c r="A2836" t="s">
        <v>10441</v>
      </c>
      <c r="B2836" t="s">
        <v>10446</v>
      </c>
      <c r="D2836" t="s">
        <v>509</v>
      </c>
      <c r="E2836" t="s">
        <v>502</v>
      </c>
      <c r="F2836" t="s">
        <v>10447</v>
      </c>
      <c r="G2836" t="s">
        <v>10445</v>
      </c>
      <c r="H2836" t="str">
        <f>"01903 331021"</f>
        <v>01903 331021</v>
      </c>
    </row>
    <row r="2837" spans="1:8">
      <c r="A2837" t="s">
        <v>10441</v>
      </c>
      <c r="B2837" t="s">
        <v>10448</v>
      </c>
      <c r="D2837" t="s">
        <v>120</v>
      </c>
      <c r="F2837" t="s">
        <v>10449</v>
      </c>
      <c r="G2837" t="s">
        <v>10445</v>
      </c>
      <c r="H2837" t="str">
        <f>"02392 002011 "</f>
        <v xml:space="preserve">02392 002011 </v>
      </c>
    </row>
    <row r="2838" spans="1:8">
      <c r="A2838" t="s">
        <v>10441</v>
      </c>
      <c r="B2838" t="s">
        <v>10450</v>
      </c>
      <c r="D2838" t="s">
        <v>2186</v>
      </c>
      <c r="F2838" t="s">
        <v>10451</v>
      </c>
      <c r="G2838" t="s">
        <v>10445</v>
      </c>
      <c r="H2838" t="str">
        <f>"01243769036"</f>
        <v>01243769036</v>
      </c>
    </row>
    <row r="2839" spans="1:8">
      <c r="A2839" t="s">
        <v>10441</v>
      </c>
      <c r="B2839" t="s">
        <v>10452</v>
      </c>
      <c r="C2839" t="s">
        <v>10453</v>
      </c>
      <c r="D2839" t="s">
        <v>1779</v>
      </c>
      <c r="F2839" t="s">
        <v>10454</v>
      </c>
      <c r="G2839" t="s">
        <v>10445</v>
      </c>
      <c r="H2839" t="str">
        <f>"01243 769072"</f>
        <v>01243 769072</v>
      </c>
    </row>
    <row r="2840" spans="1:8">
      <c r="A2840" t="s">
        <v>10455</v>
      </c>
      <c r="B2840" t="s">
        <v>10456</v>
      </c>
      <c r="D2840" t="s">
        <v>3190</v>
      </c>
      <c r="F2840" t="s">
        <v>10457</v>
      </c>
      <c r="G2840" t="s">
        <v>10458</v>
      </c>
      <c r="H2840" t="str">
        <f>"0330 221 8855"</f>
        <v>0330 221 8855</v>
      </c>
    </row>
    <row r="2841" spans="1:8">
      <c r="A2841" t="s">
        <v>10455</v>
      </c>
      <c r="B2841" t="s">
        <v>10459</v>
      </c>
      <c r="D2841" t="s">
        <v>4062</v>
      </c>
      <c r="F2841" t="s">
        <v>10460</v>
      </c>
      <c r="G2841" t="s">
        <v>10461</v>
      </c>
      <c r="H2841" t="str">
        <f>"033 0221 8855"</f>
        <v>033 0221 8855</v>
      </c>
    </row>
    <row r="2842" spans="1:8">
      <c r="A2842" t="s">
        <v>10455</v>
      </c>
      <c r="B2842" t="s">
        <v>10462</v>
      </c>
      <c r="D2842" t="s">
        <v>3994</v>
      </c>
      <c r="F2842" t="s">
        <v>10463</v>
      </c>
      <c r="G2842" t="s">
        <v>10461</v>
      </c>
      <c r="H2842" t="str">
        <f>"03302218855"</f>
        <v>03302218855</v>
      </c>
    </row>
    <row r="2843" spans="1:8">
      <c r="A2843" t="s">
        <v>10455</v>
      </c>
      <c r="B2843" t="s">
        <v>10464</v>
      </c>
      <c r="D2843" t="s">
        <v>57</v>
      </c>
      <c r="F2843" t="s">
        <v>10465</v>
      </c>
      <c r="G2843" t="s">
        <v>10466</v>
      </c>
      <c r="H2843" t="str">
        <f>"0330 221 8855"</f>
        <v>0330 221 8855</v>
      </c>
    </row>
    <row r="2844" spans="1:8">
      <c r="A2844" t="s">
        <v>10467</v>
      </c>
      <c r="B2844" t="s">
        <v>10468</v>
      </c>
      <c r="C2844" t="s">
        <v>10469</v>
      </c>
      <c r="D2844" t="s">
        <v>57</v>
      </c>
      <c r="E2844" t="s">
        <v>57</v>
      </c>
      <c r="F2844" t="s">
        <v>10470</v>
      </c>
      <c r="G2844" t="s">
        <v>10471</v>
      </c>
      <c r="H2844" t="str">
        <f>"0207 537 1717"</f>
        <v>0207 537 1717</v>
      </c>
    </row>
    <row r="2845" spans="1:8">
      <c r="A2845" t="s">
        <v>10472</v>
      </c>
      <c r="B2845" t="s">
        <v>10473</v>
      </c>
      <c r="C2845" t="s">
        <v>10474</v>
      </c>
      <c r="D2845" t="s">
        <v>10475</v>
      </c>
      <c r="E2845" t="s">
        <v>10476</v>
      </c>
      <c r="F2845" t="s">
        <v>10477</v>
      </c>
      <c r="G2845" t="s">
        <v>10478</v>
      </c>
      <c r="H2845" t="str">
        <f>"01325 466794"</f>
        <v>01325 466794</v>
      </c>
    </row>
    <row r="2846" spans="1:8">
      <c r="A2846" t="s">
        <v>10472</v>
      </c>
      <c r="B2846" t="s">
        <v>10479</v>
      </c>
      <c r="D2846" t="s">
        <v>2178</v>
      </c>
      <c r="F2846" t="s">
        <v>10480</v>
      </c>
      <c r="G2846" t="s">
        <v>10481</v>
      </c>
      <c r="H2846" t="str">
        <f>"0191 2210898"</f>
        <v>0191 2210898</v>
      </c>
    </row>
    <row r="2847" spans="1:8">
      <c r="A2847" t="s">
        <v>10472</v>
      </c>
      <c r="B2847" t="s">
        <v>10482</v>
      </c>
      <c r="C2847" t="s">
        <v>10483</v>
      </c>
      <c r="D2847" t="s">
        <v>10484</v>
      </c>
      <c r="E2847" t="s">
        <v>1486</v>
      </c>
      <c r="F2847" t="s">
        <v>10485</v>
      </c>
      <c r="G2847" t="s">
        <v>10481</v>
      </c>
      <c r="H2847" t="str">
        <f>"01913 840840"</f>
        <v>01913 840840</v>
      </c>
    </row>
    <row r="2848" spans="1:8">
      <c r="A2848" t="s">
        <v>10472</v>
      </c>
      <c r="B2848" t="s">
        <v>10486</v>
      </c>
      <c r="D2848" t="s">
        <v>10487</v>
      </c>
      <c r="F2848" t="s">
        <v>10488</v>
      </c>
      <c r="G2848" t="s">
        <v>10481</v>
      </c>
      <c r="H2848" t="str">
        <f>"01912 578888"</f>
        <v>01912 578888</v>
      </c>
    </row>
    <row r="2849" spans="1:8">
      <c r="A2849" t="s">
        <v>10489</v>
      </c>
      <c r="B2849" t="s">
        <v>10490</v>
      </c>
      <c r="D2849" t="s">
        <v>1135</v>
      </c>
      <c r="E2849" t="s">
        <v>464</v>
      </c>
      <c r="F2849" t="s">
        <v>10491</v>
      </c>
      <c r="G2849" t="s">
        <v>10492</v>
      </c>
      <c r="H2849" t="str">
        <f>"01823 351122"</f>
        <v>01823 351122</v>
      </c>
    </row>
    <row r="2850" spans="1:8">
      <c r="A2850" t="s">
        <v>10493</v>
      </c>
      <c r="B2850" t="s">
        <v>10494</v>
      </c>
      <c r="D2850" t="s">
        <v>3938</v>
      </c>
      <c r="E2850" t="s">
        <v>16</v>
      </c>
      <c r="F2850" t="s">
        <v>10495</v>
      </c>
      <c r="G2850" t="s">
        <v>10496</v>
      </c>
      <c r="H2850" t="str">
        <f>"02476 226 575"</f>
        <v>02476 226 575</v>
      </c>
    </row>
    <row r="2851" spans="1:8">
      <c r="A2851" t="s">
        <v>10493</v>
      </c>
      <c r="B2851" t="s">
        <v>10497</v>
      </c>
      <c r="D2851" t="s">
        <v>7292</v>
      </c>
      <c r="E2851" t="s">
        <v>1200</v>
      </c>
      <c r="F2851" t="s">
        <v>10498</v>
      </c>
      <c r="G2851" t="s">
        <v>10496</v>
      </c>
      <c r="H2851" t="str">
        <f>"01926 858222"</f>
        <v>01926 858222</v>
      </c>
    </row>
    <row r="2852" spans="1:8">
      <c r="A2852" t="s">
        <v>10493</v>
      </c>
      <c r="B2852" t="s">
        <v>10499</v>
      </c>
      <c r="D2852" t="s">
        <v>10500</v>
      </c>
      <c r="E2852" t="s">
        <v>1200</v>
      </c>
      <c r="F2852" t="s">
        <v>10501</v>
      </c>
      <c r="G2852" t="s">
        <v>10496</v>
      </c>
      <c r="H2852" t="str">
        <f>"01789 470022"</f>
        <v>01789 470022</v>
      </c>
    </row>
    <row r="2853" spans="1:8">
      <c r="A2853" t="s">
        <v>10502</v>
      </c>
      <c r="B2853" t="s">
        <v>10503</v>
      </c>
      <c r="D2853" t="s">
        <v>8604</v>
      </c>
      <c r="E2853" t="s">
        <v>2125</v>
      </c>
      <c r="F2853" t="s">
        <v>10504</v>
      </c>
      <c r="G2853" t="s">
        <v>10505</v>
      </c>
      <c r="H2853" t="str">
        <f>"02920702449"</f>
        <v>02920702449</v>
      </c>
    </row>
    <row r="2854" spans="1:8">
      <c r="A2854" t="s">
        <v>10502</v>
      </c>
      <c r="B2854" t="s">
        <v>10507</v>
      </c>
      <c r="D2854" t="s">
        <v>10506</v>
      </c>
      <c r="E2854" t="s">
        <v>10508</v>
      </c>
      <c r="F2854" t="s">
        <v>10509</v>
      </c>
      <c r="G2854" t="s">
        <v>10505</v>
      </c>
      <c r="H2854" t="str">
        <f>"01446 411000"</f>
        <v>01446 411000</v>
      </c>
    </row>
    <row r="2855" spans="1:8">
      <c r="A2855" t="s">
        <v>10502</v>
      </c>
      <c r="B2855" t="s">
        <v>10511</v>
      </c>
      <c r="C2855" t="s">
        <v>10512</v>
      </c>
      <c r="D2855" t="s">
        <v>10510</v>
      </c>
      <c r="E2855" t="s">
        <v>10510</v>
      </c>
      <c r="F2855" t="s">
        <v>10513</v>
      </c>
      <c r="G2855" t="s">
        <v>10505</v>
      </c>
      <c r="H2855" t="str">
        <f>"02920 619 700"</f>
        <v>02920 619 700</v>
      </c>
    </row>
    <row r="2856" spans="1:8">
      <c r="A2856" t="s">
        <v>10514</v>
      </c>
      <c r="B2856" t="s">
        <v>10515</v>
      </c>
      <c r="C2856" t="s">
        <v>10516</v>
      </c>
      <c r="D2856" t="s">
        <v>10517</v>
      </c>
      <c r="E2856" t="s">
        <v>57</v>
      </c>
      <c r="F2856" t="s">
        <v>10518</v>
      </c>
      <c r="G2856" t="s">
        <v>10519</v>
      </c>
      <c r="H2856" t="str">
        <f>"02037443800"</f>
        <v>02037443800</v>
      </c>
    </row>
    <row r="2857" spans="1:8">
      <c r="A2857" t="s">
        <v>10514</v>
      </c>
      <c r="B2857" t="s">
        <v>10520</v>
      </c>
      <c r="D2857" t="s">
        <v>2561</v>
      </c>
      <c r="E2857" t="s">
        <v>1728</v>
      </c>
      <c r="F2857" t="s">
        <v>10521</v>
      </c>
      <c r="G2857" t="s">
        <v>10522</v>
      </c>
      <c r="H2857" t="str">
        <f>"01883 338 606"</f>
        <v>01883 338 606</v>
      </c>
    </row>
    <row r="2858" spans="1:8">
      <c r="A2858" t="s">
        <v>10514</v>
      </c>
      <c r="B2858" t="s">
        <v>10523</v>
      </c>
      <c r="D2858" t="s">
        <v>10524</v>
      </c>
      <c r="E2858" t="s">
        <v>57</v>
      </c>
      <c r="F2858" t="s">
        <v>10525</v>
      </c>
      <c r="G2858" t="s">
        <v>10526</v>
      </c>
      <c r="H2858" t="str">
        <f>"02045159444"</f>
        <v>02045159444</v>
      </c>
    </row>
    <row r="2859" spans="1:8">
      <c r="A2859" t="s">
        <v>10527</v>
      </c>
      <c r="B2859" t="s">
        <v>10528</v>
      </c>
      <c r="C2859" t="s">
        <v>10529</v>
      </c>
      <c r="D2859" t="s">
        <v>1616</v>
      </c>
      <c r="E2859" t="s">
        <v>1906</v>
      </c>
      <c r="F2859" t="s">
        <v>10530</v>
      </c>
      <c r="G2859" t="s">
        <v>10531</v>
      </c>
      <c r="H2859" t="str">
        <f>"01983 527878"</f>
        <v>01983 527878</v>
      </c>
    </row>
    <row r="2860" spans="1:8">
      <c r="A2860" t="s">
        <v>10532</v>
      </c>
      <c r="B2860" t="s">
        <v>10533</v>
      </c>
      <c r="C2860" t="s">
        <v>10534</v>
      </c>
      <c r="D2860" t="s">
        <v>4994</v>
      </c>
      <c r="E2860" t="s">
        <v>990</v>
      </c>
      <c r="F2860" t="s">
        <v>10535</v>
      </c>
      <c r="G2860" t="s">
        <v>10536</v>
      </c>
      <c r="H2860" t="str">
        <f>"020 3814 2020"</f>
        <v>020 3814 2020</v>
      </c>
    </row>
    <row r="2861" spans="1:8">
      <c r="A2861" t="s">
        <v>10532</v>
      </c>
      <c r="B2861" t="s">
        <v>10537</v>
      </c>
      <c r="C2861" t="s">
        <v>2058</v>
      </c>
      <c r="D2861" t="s">
        <v>7597</v>
      </c>
      <c r="E2861" t="s">
        <v>990</v>
      </c>
      <c r="F2861" t="s">
        <v>10538</v>
      </c>
      <c r="G2861" t="s">
        <v>10536</v>
      </c>
      <c r="H2861" t="str">
        <f>"0203 8142020"</f>
        <v>0203 8142020</v>
      </c>
    </row>
    <row r="2862" spans="1:8">
      <c r="A2862" t="s">
        <v>10532</v>
      </c>
      <c r="B2862" t="s">
        <v>10539</v>
      </c>
      <c r="C2862" t="s">
        <v>10540</v>
      </c>
      <c r="D2862" t="s">
        <v>990</v>
      </c>
      <c r="E2862" t="s">
        <v>995</v>
      </c>
      <c r="F2862" t="s">
        <v>10541</v>
      </c>
      <c r="G2862" t="s">
        <v>10536</v>
      </c>
      <c r="H2862" t="str">
        <f>"0203 814 2020"</f>
        <v>0203 814 2020</v>
      </c>
    </row>
    <row r="2863" spans="1:8">
      <c r="A2863" t="s">
        <v>10532</v>
      </c>
      <c r="B2863" t="s">
        <v>10542</v>
      </c>
      <c r="D2863" t="s">
        <v>995</v>
      </c>
      <c r="F2863" t="s">
        <v>10543</v>
      </c>
      <c r="G2863" t="s">
        <v>10536</v>
      </c>
      <c r="H2863" t="str">
        <f>"0203 814 2020"</f>
        <v>0203 814 2020</v>
      </c>
    </row>
    <row r="2864" spans="1:8">
      <c r="A2864" t="s">
        <v>10544</v>
      </c>
      <c r="B2864" t="s">
        <v>10545</v>
      </c>
      <c r="D2864" t="s">
        <v>7597</v>
      </c>
      <c r="E2864" t="s">
        <v>990</v>
      </c>
      <c r="F2864" t="s">
        <v>10546</v>
      </c>
      <c r="G2864" t="s">
        <v>10547</v>
      </c>
      <c r="H2864" t="str">
        <f>"01494 722326"</f>
        <v>01494 722326</v>
      </c>
    </row>
    <row r="2865" spans="1:8">
      <c r="A2865" t="s">
        <v>10544</v>
      </c>
      <c r="B2865" t="s">
        <v>10548</v>
      </c>
      <c r="C2865" t="s">
        <v>10549</v>
      </c>
      <c r="D2865" t="s">
        <v>76</v>
      </c>
      <c r="F2865" t="s">
        <v>10550</v>
      </c>
      <c r="G2865" t="s">
        <v>10547</v>
      </c>
      <c r="H2865" t="str">
        <f>"01273 056 720"</f>
        <v>01273 056 720</v>
      </c>
    </row>
    <row r="2866" spans="1:8">
      <c r="A2866" t="s">
        <v>10544</v>
      </c>
      <c r="B2866" t="s">
        <v>10551</v>
      </c>
      <c r="C2866" t="s">
        <v>10552</v>
      </c>
      <c r="D2866" t="s">
        <v>4876</v>
      </c>
      <c r="E2866" t="s">
        <v>171</v>
      </c>
      <c r="F2866" t="s">
        <v>7490</v>
      </c>
      <c r="G2866" t="s">
        <v>10553</v>
      </c>
      <c r="H2866" t="str">
        <f>"01494 414131"</f>
        <v>01494 414131</v>
      </c>
    </row>
    <row r="2867" spans="1:8">
      <c r="A2867" t="s">
        <v>10544</v>
      </c>
      <c r="B2867" t="s">
        <v>7491</v>
      </c>
      <c r="C2867" t="s">
        <v>4374</v>
      </c>
      <c r="D2867" t="s">
        <v>120</v>
      </c>
      <c r="F2867" t="s">
        <v>7492</v>
      </c>
      <c r="G2867" t="s">
        <v>10554</v>
      </c>
      <c r="H2867" t="str">
        <f>"01329 558 635"</f>
        <v>01329 558 635</v>
      </c>
    </row>
    <row r="2868" spans="1:8">
      <c r="A2868" t="s">
        <v>10544</v>
      </c>
      <c r="B2868" t="s">
        <v>10555</v>
      </c>
      <c r="C2868" t="s">
        <v>10556</v>
      </c>
      <c r="D2868" t="s">
        <v>2570</v>
      </c>
      <c r="F2868" t="s">
        <v>10557</v>
      </c>
      <c r="G2868" t="s">
        <v>10547</v>
      </c>
      <c r="H2868" t="str">
        <f>"0800 086 2929"</f>
        <v>0800 086 2929</v>
      </c>
    </row>
    <row r="2869" spans="1:8">
      <c r="A2869" t="s">
        <v>10544</v>
      </c>
      <c r="B2869" t="s">
        <v>10558</v>
      </c>
      <c r="C2869" t="s">
        <v>10559</v>
      </c>
      <c r="D2869" t="s">
        <v>5818</v>
      </c>
      <c r="F2869" t="s">
        <v>10560</v>
      </c>
      <c r="G2869" t="s">
        <v>10547</v>
      </c>
      <c r="H2869" t="str">
        <f>"01525301700"</f>
        <v>01525301700</v>
      </c>
    </row>
    <row r="2870" spans="1:8">
      <c r="A2870" t="s">
        <v>10544</v>
      </c>
      <c r="B2870" t="s">
        <v>10561</v>
      </c>
      <c r="C2870" t="s">
        <v>10562</v>
      </c>
      <c r="D2870" t="s">
        <v>9708</v>
      </c>
      <c r="F2870" t="s">
        <v>10563</v>
      </c>
      <c r="G2870" t="s">
        <v>10547</v>
      </c>
      <c r="H2870" t="str">
        <f>"02033765861"</f>
        <v>02033765861</v>
      </c>
    </row>
    <row r="2871" spans="1:8">
      <c r="A2871" t="s">
        <v>10544</v>
      </c>
      <c r="B2871" t="s">
        <v>10564</v>
      </c>
      <c r="C2871" t="s">
        <v>10565</v>
      </c>
      <c r="D2871" t="s">
        <v>61</v>
      </c>
      <c r="F2871" t="s">
        <v>10566</v>
      </c>
      <c r="G2871" t="s">
        <v>10547</v>
      </c>
      <c r="H2871" t="str">
        <f>"0800 0862929"</f>
        <v>0800 0862929</v>
      </c>
    </row>
    <row r="2872" spans="1:8">
      <c r="A2872" t="s">
        <v>10544</v>
      </c>
      <c r="B2872" t="s">
        <v>10567</v>
      </c>
      <c r="C2872" t="s">
        <v>10568</v>
      </c>
      <c r="D2872" t="s">
        <v>868</v>
      </c>
      <c r="F2872" t="s">
        <v>10569</v>
      </c>
      <c r="G2872" t="s">
        <v>10547</v>
      </c>
      <c r="H2872" t="str">
        <f>"0800 086 8989"</f>
        <v>0800 086 8989</v>
      </c>
    </row>
    <row r="2873" spans="1:8">
      <c r="A2873" t="s">
        <v>10544</v>
      </c>
      <c r="B2873" t="s">
        <v>10570</v>
      </c>
      <c r="C2873" t="s">
        <v>10571</v>
      </c>
      <c r="D2873" t="s">
        <v>57</v>
      </c>
      <c r="F2873" t="s">
        <v>10572</v>
      </c>
      <c r="G2873" t="s">
        <v>10547</v>
      </c>
      <c r="H2873" t="str">
        <f>"0800 0862929"</f>
        <v>0800 0862929</v>
      </c>
    </row>
    <row r="2874" spans="1:8">
      <c r="A2874" t="s">
        <v>10544</v>
      </c>
      <c r="B2874" t="s">
        <v>10573</v>
      </c>
      <c r="D2874" t="s">
        <v>10341</v>
      </c>
      <c r="E2874" t="s">
        <v>187</v>
      </c>
      <c r="F2874" t="s">
        <v>10574</v>
      </c>
      <c r="G2874" t="s">
        <v>10575</v>
      </c>
      <c r="H2874" t="str">
        <f>"0800 086 29 29 "</f>
        <v xml:space="preserve">0800 086 29 29 </v>
      </c>
    </row>
    <row r="2875" spans="1:8">
      <c r="A2875" t="s">
        <v>10544</v>
      </c>
      <c r="B2875" t="s">
        <v>10576</v>
      </c>
      <c r="D2875" t="s">
        <v>481</v>
      </c>
      <c r="F2875" t="s">
        <v>10577</v>
      </c>
      <c r="G2875" t="s">
        <v>10578</v>
      </c>
      <c r="H2875" t="str">
        <f>"0800 086 2929"</f>
        <v>0800 086 2929</v>
      </c>
    </row>
    <row r="2876" spans="1:8">
      <c r="A2876" t="s">
        <v>10579</v>
      </c>
      <c r="B2876" t="s">
        <v>10580</v>
      </c>
      <c r="C2876" t="s">
        <v>10581</v>
      </c>
      <c r="D2876" t="s">
        <v>1103</v>
      </c>
      <c r="E2876" t="s">
        <v>106</v>
      </c>
      <c r="F2876" t="s">
        <v>10582</v>
      </c>
      <c r="G2876" t="s">
        <v>10583</v>
      </c>
      <c r="H2876" t="str">
        <f>"01743 280210"</f>
        <v>01743 280210</v>
      </c>
    </row>
    <row r="2877" spans="1:8">
      <c r="A2877" t="s">
        <v>10579</v>
      </c>
      <c r="B2877" t="s">
        <v>10584</v>
      </c>
      <c r="D2877" t="s">
        <v>7852</v>
      </c>
      <c r="E2877" t="s">
        <v>106</v>
      </c>
      <c r="F2877" t="s">
        <v>10585</v>
      </c>
      <c r="G2877" t="s">
        <v>10583</v>
      </c>
      <c r="H2877" t="str">
        <f>"01691 652241"</f>
        <v>01691 652241</v>
      </c>
    </row>
    <row r="2878" spans="1:8">
      <c r="A2878" t="s">
        <v>10579</v>
      </c>
      <c r="B2878" t="s">
        <v>10586</v>
      </c>
      <c r="C2878" t="s">
        <v>4689</v>
      </c>
      <c r="D2878" t="s">
        <v>104</v>
      </c>
      <c r="F2878" t="s">
        <v>10587</v>
      </c>
      <c r="G2878" t="s">
        <v>10583</v>
      </c>
      <c r="H2878" t="str">
        <f>"01952 292585"</f>
        <v>01952 292585</v>
      </c>
    </row>
    <row r="2879" spans="1:8">
      <c r="A2879" t="s">
        <v>10579</v>
      </c>
      <c r="B2879" t="s">
        <v>10588</v>
      </c>
      <c r="C2879" t="s">
        <v>10589</v>
      </c>
      <c r="D2879" t="s">
        <v>109</v>
      </c>
      <c r="E2879" t="s">
        <v>106</v>
      </c>
      <c r="F2879" t="s">
        <v>10590</v>
      </c>
      <c r="G2879" t="s">
        <v>10583</v>
      </c>
      <c r="H2879" t="str">
        <f>"01584 872333"</f>
        <v>01584 872333</v>
      </c>
    </row>
    <row r="2880" spans="1:8">
      <c r="A2880" t="s">
        <v>10579</v>
      </c>
      <c r="B2880" t="s">
        <v>10591</v>
      </c>
      <c r="D2880" t="s">
        <v>970</v>
      </c>
      <c r="E2880" t="s">
        <v>971</v>
      </c>
      <c r="F2880" t="s">
        <v>10592</v>
      </c>
      <c r="G2880" t="s">
        <v>10583</v>
      </c>
      <c r="H2880" t="str">
        <f>"01432 352345"</f>
        <v>01432 352345</v>
      </c>
    </row>
    <row r="2881" spans="1:8">
      <c r="A2881" t="s">
        <v>10579</v>
      </c>
      <c r="B2881" t="s">
        <v>9608</v>
      </c>
      <c r="C2881" t="s">
        <v>10593</v>
      </c>
      <c r="D2881" t="s">
        <v>971</v>
      </c>
      <c r="F2881" t="s">
        <v>10594</v>
      </c>
      <c r="G2881" t="s">
        <v>10583</v>
      </c>
      <c r="H2881" t="str">
        <f>"01885 488442"</f>
        <v>01885 488442</v>
      </c>
    </row>
    <row r="2882" spans="1:8">
      <c r="A2882" t="s">
        <v>10579</v>
      </c>
      <c r="B2882" t="s">
        <v>10595</v>
      </c>
      <c r="C2882" t="s">
        <v>10596</v>
      </c>
      <c r="D2882" t="s">
        <v>4424</v>
      </c>
      <c r="F2882" t="s">
        <v>10597</v>
      </c>
      <c r="G2882" t="s">
        <v>10583</v>
      </c>
      <c r="H2882" t="str">
        <f>"01492849936"</f>
        <v>01492849936</v>
      </c>
    </row>
    <row r="2883" spans="1:8">
      <c r="A2883" t="s">
        <v>10598</v>
      </c>
      <c r="B2883" t="s">
        <v>10599</v>
      </c>
      <c r="D2883" t="s">
        <v>1743</v>
      </c>
      <c r="E2883" t="s">
        <v>502</v>
      </c>
      <c r="F2883" t="s">
        <v>10600</v>
      </c>
      <c r="G2883" t="s">
        <v>10601</v>
      </c>
      <c r="H2883" t="str">
        <f>"01293 605044"</f>
        <v>01293 605044</v>
      </c>
    </row>
    <row r="2884" spans="1:8">
      <c r="A2884" t="s">
        <v>10598</v>
      </c>
      <c r="B2884" t="s">
        <v>10602</v>
      </c>
      <c r="C2884" t="s">
        <v>10603</v>
      </c>
      <c r="D2884" t="s">
        <v>481</v>
      </c>
      <c r="E2884" t="s">
        <v>200</v>
      </c>
      <c r="F2884" t="s">
        <v>10604</v>
      </c>
      <c r="G2884" t="s">
        <v>10605</v>
      </c>
      <c r="H2884" t="str">
        <f>"01483 302345"</f>
        <v>01483 302345</v>
      </c>
    </row>
    <row r="2885" spans="1:8">
      <c r="A2885" t="s">
        <v>10598</v>
      </c>
      <c r="B2885" t="s">
        <v>10606</v>
      </c>
      <c r="C2885" t="s">
        <v>10607</v>
      </c>
      <c r="D2885" t="s">
        <v>57</v>
      </c>
      <c r="F2885" t="s">
        <v>10608</v>
      </c>
      <c r="G2885" t="s">
        <v>10605</v>
      </c>
      <c r="H2885" t="str">
        <f>"0207 822 1500"</f>
        <v>0207 822 1500</v>
      </c>
    </row>
    <row r="2886" spans="1:8">
      <c r="A2886" t="s">
        <v>10598</v>
      </c>
      <c r="B2886" t="s">
        <v>10609</v>
      </c>
      <c r="D2886" t="s">
        <v>76</v>
      </c>
      <c r="F2886" t="s">
        <v>10610</v>
      </c>
      <c r="G2886" t="s">
        <v>10605</v>
      </c>
      <c r="H2886" t="str">
        <f>"01273 329833"</f>
        <v>01273 329833</v>
      </c>
    </row>
    <row r="2887" spans="1:8">
      <c r="A2887" t="s">
        <v>10598</v>
      </c>
      <c r="B2887" t="s">
        <v>10611</v>
      </c>
      <c r="D2887" t="s">
        <v>541</v>
      </c>
      <c r="E2887" t="s">
        <v>502</v>
      </c>
      <c r="F2887" t="s">
        <v>10612</v>
      </c>
      <c r="G2887" t="s">
        <v>10605</v>
      </c>
      <c r="H2887" t="str">
        <f>"01403 252492"</f>
        <v>01403 252492</v>
      </c>
    </row>
    <row r="2888" spans="1:8">
      <c r="A2888" t="s">
        <v>10598</v>
      </c>
      <c r="B2888" t="s">
        <v>10613</v>
      </c>
      <c r="D2888" t="s">
        <v>1739</v>
      </c>
      <c r="F2888" t="s">
        <v>10614</v>
      </c>
      <c r="G2888" t="s">
        <v>10605</v>
      </c>
      <c r="H2888" t="str">
        <f>"01273 843405"</f>
        <v>01273 843405</v>
      </c>
    </row>
    <row r="2889" spans="1:8">
      <c r="A2889" t="s">
        <v>10615</v>
      </c>
      <c r="B2889" t="s">
        <v>10616</v>
      </c>
      <c r="C2889" t="s">
        <v>3826</v>
      </c>
      <c r="D2889" t="s">
        <v>61</v>
      </c>
      <c r="F2889" t="s">
        <v>10617</v>
      </c>
      <c r="G2889" t="s">
        <v>10618</v>
      </c>
      <c r="H2889" t="str">
        <f>"0117 973 1391"</f>
        <v>0117 973 1391</v>
      </c>
    </row>
    <row r="2890" spans="1:8">
      <c r="A2890" t="s">
        <v>10619</v>
      </c>
      <c r="B2890" t="s">
        <v>10620</v>
      </c>
      <c r="D2890" t="s">
        <v>1457</v>
      </c>
      <c r="E2890" t="s">
        <v>340</v>
      </c>
      <c r="F2890" t="s">
        <v>10621</v>
      </c>
      <c r="G2890" t="s">
        <v>10622</v>
      </c>
      <c r="H2890" t="str">
        <f>"0191 568 9000"</f>
        <v>0191 568 9000</v>
      </c>
    </row>
    <row r="2891" spans="1:8">
      <c r="A2891" t="s">
        <v>10619</v>
      </c>
      <c r="B2891" t="s">
        <v>10623</v>
      </c>
      <c r="D2891" t="s">
        <v>2434</v>
      </c>
      <c r="E2891" t="s">
        <v>1487</v>
      </c>
      <c r="F2891" t="s">
        <v>10624</v>
      </c>
      <c r="G2891" t="s">
        <v>10622</v>
      </c>
      <c r="H2891" t="str">
        <f>"0191 568 9000"</f>
        <v>0191 568 9000</v>
      </c>
    </row>
    <row r="2892" spans="1:8">
      <c r="A2892" t="s">
        <v>10625</v>
      </c>
      <c r="B2892" t="s">
        <v>10626</v>
      </c>
      <c r="D2892" t="s">
        <v>902</v>
      </c>
      <c r="E2892" t="s">
        <v>775</v>
      </c>
      <c r="F2892" t="s">
        <v>10627</v>
      </c>
      <c r="G2892" t="s">
        <v>10628</v>
      </c>
      <c r="H2892" t="str">
        <f>"01509 230333"</f>
        <v>01509 230333</v>
      </c>
    </row>
    <row r="2893" spans="1:8">
      <c r="A2893" t="s">
        <v>10625</v>
      </c>
      <c r="B2893" t="s">
        <v>10629</v>
      </c>
      <c r="D2893" t="s">
        <v>409</v>
      </c>
      <c r="E2893" t="s">
        <v>410</v>
      </c>
      <c r="F2893" t="s">
        <v>10630</v>
      </c>
      <c r="G2893" t="s">
        <v>10628</v>
      </c>
      <c r="H2893" t="str">
        <f>"0115 955 9000"</f>
        <v>0115 955 9000</v>
      </c>
    </row>
    <row r="2894" spans="1:8">
      <c r="A2894" t="s">
        <v>10625</v>
      </c>
      <c r="B2894" t="s">
        <v>10632</v>
      </c>
      <c r="C2894" t="s">
        <v>10631</v>
      </c>
      <c r="D2894" t="s">
        <v>409</v>
      </c>
      <c r="E2894" t="s">
        <v>410</v>
      </c>
      <c r="F2894" t="s">
        <v>10633</v>
      </c>
      <c r="G2894" t="s">
        <v>10628</v>
      </c>
      <c r="H2894" t="str">
        <f>"01949 836879"</f>
        <v>01949 836879</v>
      </c>
    </row>
    <row r="2895" spans="1:8">
      <c r="A2895" t="s">
        <v>10625</v>
      </c>
      <c r="B2895" t="s">
        <v>10634</v>
      </c>
      <c r="C2895" t="s">
        <v>8599</v>
      </c>
      <c r="D2895" t="s">
        <v>409</v>
      </c>
      <c r="F2895" t="s">
        <v>10635</v>
      </c>
      <c r="G2895" t="s">
        <v>10628</v>
      </c>
      <c r="H2895" t="str">
        <f>"0115 9461061"</f>
        <v>0115 9461061</v>
      </c>
    </row>
    <row r="2896" spans="1:8">
      <c r="A2896" t="s">
        <v>10636</v>
      </c>
      <c r="B2896" t="s">
        <v>10637</v>
      </c>
      <c r="D2896" t="s">
        <v>187</v>
      </c>
      <c r="E2896" t="s">
        <v>990</v>
      </c>
      <c r="F2896" t="s">
        <v>10638</v>
      </c>
      <c r="G2896" t="s">
        <v>10639</v>
      </c>
      <c r="H2896" t="str">
        <f>"01908 909910"</f>
        <v>01908 909910</v>
      </c>
    </row>
    <row r="2897" spans="1:8">
      <c r="A2897" t="s">
        <v>10636</v>
      </c>
      <c r="B2897" t="s">
        <v>10640</v>
      </c>
      <c r="C2897" t="s">
        <v>10641</v>
      </c>
      <c r="D2897" t="s">
        <v>10642</v>
      </c>
      <c r="E2897" t="s">
        <v>10643</v>
      </c>
      <c r="F2897" t="s">
        <v>10638</v>
      </c>
      <c r="G2897" t="s">
        <v>10644</v>
      </c>
      <c r="H2897" t="str">
        <f>"01908909910"</f>
        <v>01908909910</v>
      </c>
    </row>
    <row r="2898" spans="1:8">
      <c r="A2898" t="s">
        <v>10636</v>
      </c>
      <c r="B2898" t="s">
        <v>10645</v>
      </c>
      <c r="C2898" t="s">
        <v>10641</v>
      </c>
      <c r="D2898" t="s">
        <v>10642</v>
      </c>
      <c r="F2898" t="s">
        <v>10638</v>
      </c>
      <c r="G2898" t="s">
        <v>10644</v>
      </c>
      <c r="H2898" t="str">
        <f>"01908909910"</f>
        <v>01908909910</v>
      </c>
    </row>
    <row r="2899" spans="1:8">
      <c r="A2899" t="s">
        <v>10646</v>
      </c>
      <c r="B2899" t="s">
        <v>10647</v>
      </c>
      <c r="D2899" t="s">
        <v>57</v>
      </c>
      <c r="E2899" t="s">
        <v>153</v>
      </c>
      <c r="F2899" t="s">
        <v>10648</v>
      </c>
      <c r="G2899" t="s">
        <v>10649</v>
      </c>
      <c r="H2899" t="str">
        <f>"0207 018 4949"</f>
        <v>0207 018 4949</v>
      </c>
    </row>
    <row r="2900" spans="1:8">
      <c r="A2900" t="s">
        <v>10646</v>
      </c>
      <c r="B2900" t="s">
        <v>10650</v>
      </c>
      <c r="D2900" t="s">
        <v>584</v>
      </c>
      <c r="F2900" t="s">
        <v>10651</v>
      </c>
      <c r="G2900" t="s">
        <v>10652</v>
      </c>
      <c r="H2900" t="str">
        <f>"0207 018 4949"</f>
        <v>0207 018 4949</v>
      </c>
    </row>
    <row r="2901" spans="1:8">
      <c r="A2901" t="s">
        <v>10653</v>
      </c>
      <c r="B2901" t="s">
        <v>10654</v>
      </c>
      <c r="D2901" t="s">
        <v>712</v>
      </c>
      <c r="F2901" t="s">
        <v>10655</v>
      </c>
      <c r="G2901" t="s">
        <v>10656</v>
      </c>
      <c r="H2901" t="str">
        <f>"01380 722311"</f>
        <v>01380 722311</v>
      </c>
    </row>
    <row r="2902" spans="1:8">
      <c r="A2902" t="s">
        <v>10653</v>
      </c>
      <c r="B2902" t="s">
        <v>10658</v>
      </c>
      <c r="D2902" t="s">
        <v>10657</v>
      </c>
      <c r="F2902" t="s">
        <v>10659</v>
      </c>
      <c r="G2902" t="s">
        <v>10656</v>
      </c>
      <c r="H2902" t="str">
        <f>"01793 853200"</f>
        <v>01793 853200</v>
      </c>
    </row>
    <row r="2903" spans="1:8">
      <c r="A2903" t="s">
        <v>10653</v>
      </c>
      <c r="B2903" t="s">
        <v>10660</v>
      </c>
      <c r="D2903" t="s">
        <v>881</v>
      </c>
      <c r="F2903" t="s">
        <v>10661</v>
      </c>
      <c r="G2903" t="s">
        <v>10656</v>
      </c>
      <c r="H2903" t="str">
        <f>"01672 518620"</f>
        <v>01672 518620</v>
      </c>
    </row>
    <row r="2904" spans="1:8">
      <c r="A2904" t="s">
        <v>10653</v>
      </c>
      <c r="B2904" t="s">
        <v>10662</v>
      </c>
      <c r="D2904" t="s">
        <v>705</v>
      </c>
      <c r="F2904" t="s">
        <v>10663</v>
      </c>
      <c r="G2904" t="s">
        <v>10656</v>
      </c>
      <c r="H2904" t="str">
        <f>"01249 478333"</f>
        <v>01249 478333</v>
      </c>
    </row>
    <row r="2905" spans="1:8">
      <c r="A2905" t="s">
        <v>10653</v>
      </c>
      <c r="B2905" t="s">
        <v>10664</v>
      </c>
      <c r="D2905" t="s">
        <v>383</v>
      </c>
      <c r="F2905" t="s">
        <v>10665</v>
      </c>
      <c r="G2905" t="s">
        <v>10656</v>
      </c>
      <c r="H2905" t="str">
        <f>"01793 384140"</f>
        <v>01793 384140</v>
      </c>
    </row>
    <row r="2906" spans="1:8">
      <c r="A2906" t="s">
        <v>10653</v>
      </c>
      <c r="B2906" t="s">
        <v>10666</v>
      </c>
      <c r="C2906" t="s">
        <v>10667</v>
      </c>
      <c r="E2906" t="s">
        <v>141</v>
      </c>
      <c r="F2906" t="s">
        <v>10668</v>
      </c>
      <c r="G2906" t="s">
        <v>10656</v>
      </c>
      <c r="H2906" t="str">
        <f>"01225 417111"</f>
        <v>01225 417111</v>
      </c>
    </row>
    <row r="2907" spans="1:8">
      <c r="A2907" t="s">
        <v>10669</v>
      </c>
      <c r="B2907" t="s">
        <v>10670</v>
      </c>
      <c r="D2907" t="s">
        <v>3011</v>
      </c>
      <c r="E2907" t="s">
        <v>3199</v>
      </c>
      <c r="F2907" t="s">
        <v>10671</v>
      </c>
      <c r="G2907" t="s">
        <v>10672</v>
      </c>
      <c r="H2907" t="str">
        <f>"01267 239000"</f>
        <v>01267 239000</v>
      </c>
    </row>
    <row r="2908" spans="1:8">
      <c r="A2908" t="s">
        <v>10669</v>
      </c>
      <c r="B2908" t="s">
        <v>10673</v>
      </c>
      <c r="D2908" t="s">
        <v>37</v>
      </c>
      <c r="E2908" t="s">
        <v>3199</v>
      </c>
      <c r="F2908" t="s">
        <v>10674</v>
      </c>
      <c r="G2908" t="s">
        <v>10672</v>
      </c>
      <c r="H2908" t="str">
        <f>"01437 763332"</f>
        <v>01437 763332</v>
      </c>
    </row>
    <row r="2909" spans="1:8">
      <c r="A2909" t="s">
        <v>10669</v>
      </c>
      <c r="B2909" t="s">
        <v>10675</v>
      </c>
      <c r="D2909" t="s">
        <v>451</v>
      </c>
      <c r="E2909" t="s">
        <v>53</v>
      </c>
      <c r="F2909" t="s">
        <v>10676</v>
      </c>
      <c r="G2909" t="s">
        <v>10672</v>
      </c>
      <c r="H2909" t="str">
        <f>"01453 763 433"</f>
        <v>01453 763 433</v>
      </c>
    </row>
    <row r="2910" spans="1:8">
      <c r="A2910" t="s">
        <v>10669</v>
      </c>
      <c r="B2910" t="s">
        <v>10677</v>
      </c>
      <c r="D2910" t="s">
        <v>4867</v>
      </c>
      <c r="E2910" t="s">
        <v>53</v>
      </c>
      <c r="F2910" t="s">
        <v>10678</v>
      </c>
      <c r="G2910" t="s">
        <v>10672</v>
      </c>
      <c r="H2910" t="str">
        <f>"01453 547 221"</f>
        <v>01453 547 221</v>
      </c>
    </row>
    <row r="2911" spans="1:8">
      <c r="A2911" t="s">
        <v>10669</v>
      </c>
      <c r="B2911" t="s">
        <v>7102</v>
      </c>
      <c r="D2911" t="s">
        <v>10397</v>
      </c>
      <c r="E2911" t="s">
        <v>53</v>
      </c>
      <c r="F2911" t="s">
        <v>10679</v>
      </c>
      <c r="G2911" t="s">
        <v>10672</v>
      </c>
      <c r="H2911" t="str">
        <f>"01453 825 151"</f>
        <v>01453 825 151</v>
      </c>
    </row>
    <row r="2912" spans="1:8">
      <c r="A2912" t="s">
        <v>10669</v>
      </c>
      <c r="B2912" t="s">
        <v>1096</v>
      </c>
      <c r="C2912" t="s">
        <v>10680</v>
      </c>
      <c r="D2912" t="s">
        <v>303</v>
      </c>
      <c r="E2912" t="s">
        <v>3199</v>
      </c>
      <c r="F2912" t="s">
        <v>10681</v>
      </c>
      <c r="G2912" t="s">
        <v>10672</v>
      </c>
      <c r="H2912" t="str">
        <f>"02920 491 271 "</f>
        <v xml:space="preserve">02920 491 271 </v>
      </c>
    </row>
    <row r="2913" spans="1:8">
      <c r="A2913" t="s">
        <v>10669</v>
      </c>
      <c r="B2913" t="s">
        <v>10683</v>
      </c>
      <c r="D2913" t="s">
        <v>10682</v>
      </c>
      <c r="E2913" t="s">
        <v>1007</v>
      </c>
      <c r="F2913" t="s">
        <v>10684</v>
      </c>
      <c r="G2913" t="s">
        <v>10672</v>
      </c>
      <c r="H2913" t="str">
        <f>"01874625151"</f>
        <v>01874625151</v>
      </c>
    </row>
    <row r="2914" spans="1:8">
      <c r="A2914" t="s">
        <v>10669</v>
      </c>
      <c r="B2914" t="s">
        <v>10685</v>
      </c>
      <c r="C2914" t="s">
        <v>2993</v>
      </c>
      <c r="D2914" t="s">
        <v>1054</v>
      </c>
      <c r="F2914" t="s">
        <v>2996</v>
      </c>
      <c r="G2914" t="s">
        <v>10672</v>
      </c>
      <c r="H2914" t="str">
        <f>"01792 892166"</f>
        <v>01792 892166</v>
      </c>
    </row>
    <row r="2915" spans="1:8">
      <c r="A2915" t="s">
        <v>10669</v>
      </c>
      <c r="B2915" t="s">
        <v>10686</v>
      </c>
      <c r="D2915" t="s">
        <v>4892</v>
      </c>
      <c r="E2915" t="s">
        <v>971</v>
      </c>
      <c r="F2915" t="s">
        <v>10687</v>
      </c>
      <c r="G2915" t="s">
        <v>10672</v>
      </c>
      <c r="H2915" t="str">
        <f>"01531 632226"</f>
        <v>01531 632226</v>
      </c>
    </row>
    <row r="2916" spans="1:8">
      <c r="A2916" t="s">
        <v>10669</v>
      </c>
      <c r="B2916" t="s">
        <v>10688</v>
      </c>
      <c r="D2916" t="s">
        <v>1042</v>
      </c>
      <c r="F2916" t="s">
        <v>10689</v>
      </c>
      <c r="G2916" t="s">
        <v>10672</v>
      </c>
      <c r="H2916" t="str">
        <f>"01656 661115"</f>
        <v>01656 661115</v>
      </c>
    </row>
    <row r="2917" spans="1:8">
      <c r="A2917" t="s">
        <v>10669</v>
      </c>
      <c r="B2917" t="s">
        <v>10691</v>
      </c>
      <c r="D2917" t="s">
        <v>10690</v>
      </c>
      <c r="F2917" t="s">
        <v>10692</v>
      </c>
      <c r="G2917" t="s">
        <v>10672</v>
      </c>
      <c r="H2917" t="str">
        <f>"01656 782070"</f>
        <v>01656 782070</v>
      </c>
    </row>
    <row r="2918" spans="1:8">
      <c r="A2918" t="s">
        <v>10669</v>
      </c>
      <c r="B2918" t="s">
        <v>10693</v>
      </c>
      <c r="D2918" t="s">
        <v>455</v>
      </c>
      <c r="F2918" t="s">
        <v>10694</v>
      </c>
      <c r="G2918" t="s">
        <v>10695</v>
      </c>
      <c r="H2918" t="str">
        <f>"01285654875"</f>
        <v>01285654875</v>
      </c>
    </row>
    <row r="2919" spans="1:8">
      <c r="A2919" t="s">
        <v>10669</v>
      </c>
      <c r="B2919" t="s">
        <v>10696</v>
      </c>
      <c r="D2919" t="s">
        <v>52</v>
      </c>
      <c r="F2919" t="s">
        <v>10697</v>
      </c>
      <c r="G2919" t="s">
        <v>10672</v>
      </c>
      <c r="H2919" t="str">
        <f>"01452508800"</f>
        <v>01452508800</v>
      </c>
    </row>
    <row r="2920" spans="1:8">
      <c r="A2920" t="s">
        <v>10669</v>
      </c>
      <c r="B2920" t="s">
        <v>10698</v>
      </c>
      <c r="C2920" t="s">
        <v>10699</v>
      </c>
      <c r="D2920" t="s">
        <v>2995</v>
      </c>
      <c r="F2920" t="s">
        <v>10700</v>
      </c>
      <c r="G2920" t="s">
        <v>10701</v>
      </c>
      <c r="H2920" t="str">
        <f>"01792 892166"</f>
        <v>01792 892166</v>
      </c>
    </row>
    <row r="2921" spans="1:8">
      <c r="A2921" t="s">
        <v>10669</v>
      </c>
      <c r="B2921" t="s">
        <v>10703</v>
      </c>
      <c r="D2921" t="s">
        <v>10702</v>
      </c>
      <c r="F2921" t="s">
        <v>10704</v>
      </c>
      <c r="G2921" t="s">
        <v>10705</v>
      </c>
      <c r="H2921" t="str">
        <f>"01646683222"</f>
        <v>01646683222</v>
      </c>
    </row>
    <row r="2922" spans="1:8">
      <c r="A2922" t="s">
        <v>10669</v>
      </c>
      <c r="B2922" t="s">
        <v>10706</v>
      </c>
      <c r="D2922" t="s">
        <v>8604</v>
      </c>
      <c r="F2922" t="s">
        <v>10504</v>
      </c>
      <c r="G2922" t="s">
        <v>10701</v>
      </c>
      <c r="H2922" t="str">
        <f>"02920 703991"</f>
        <v>02920 703991</v>
      </c>
    </row>
    <row r="2923" spans="1:8">
      <c r="A2923" t="s">
        <v>10669</v>
      </c>
      <c r="B2923" t="s">
        <v>10707</v>
      </c>
      <c r="D2923" t="s">
        <v>1054</v>
      </c>
      <c r="F2923" t="s">
        <v>10708</v>
      </c>
      <c r="G2923" t="s">
        <v>10701</v>
      </c>
      <c r="H2923" t="str">
        <f>"01792 004700"</f>
        <v>01792 004700</v>
      </c>
    </row>
    <row r="2924" spans="1:8">
      <c r="A2924" t="s">
        <v>10709</v>
      </c>
      <c r="B2924" t="s">
        <v>10710</v>
      </c>
      <c r="D2924" t="s">
        <v>6285</v>
      </c>
      <c r="E2924" t="s">
        <v>1956</v>
      </c>
      <c r="F2924" t="s">
        <v>10711</v>
      </c>
      <c r="G2924" t="s">
        <v>10712</v>
      </c>
      <c r="H2924" t="str">
        <f>"0333 006 0091"</f>
        <v>0333 006 0091</v>
      </c>
    </row>
    <row r="2925" spans="1:8">
      <c r="A2925" t="s">
        <v>10709</v>
      </c>
      <c r="B2925" t="s">
        <v>10713</v>
      </c>
      <c r="D2925" t="s">
        <v>57</v>
      </c>
      <c r="F2925" t="s">
        <v>10714</v>
      </c>
      <c r="G2925" t="s">
        <v>10715</v>
      </c>
      <c r="H2925" t="str">
        <f>"0333 0060300"</f>
        <v>0333 0060300</v>
      </c>
    </row>
    <row r="2926" spans="1:8">
      <c r="A2926" t="s">
        <v>10709</v>
      </c>
      <c r="B2926" t="s">
        <v>10716</v>
      </c>
      <c r="D2926" t="s">
        <v>5498</v>
      </c>
      <c r="E2926" t="s">
        <v>132</v>
      </c>
      <c r="F2926" t="s">
        <v>10717</v>
      </c>
      <c r="G2926" t="s">
        <v>10715</v>
      </c>
      <c r="H2926" t="str">
        <f>"03330060000"</f>
        <v>03330060000</v>
      </c>
    </row>
    <row r="2927" spans="1:8">
      <c r="A2927" t="s">
        <v>10709</v>
      </c>
      <c r="B2927" t="s">
        <v>10719</v>
      </c>
      <c r="D2927" t="s">
        <v>10718</v>
      </c>
      <c r="E2927" t="s">
        <v>10720</v>
      </c>
      <c r="F2927" t="s">
        <v>10721</v>
      </c>
      <c r="G2927" t="s">
        <v>10715</v>
      </c>
      <c r="H2927" t="str">
        <f>"03330060400"</f>
        <v>03330060400</v>
      </c>
    </row>
    <row r="2928" spans="1:8">
      <c r="A2928" t="s">
        <v>10709</v>
      </c>
      <c r="B2928" t="s">
        <v>10722</v>
      </c>
      <c r="D2928" t="s">
        <v>14</v>
      </c>
      <c r="F2928" t="s">
        <v>10723</v>
      </c>
      <c r="G2928" t="s">
        <v>10724</v>
      </c>
      <c r="H2928" t="str">
        <f>"03330060000"</f>
        <v>03330060000</v>
      </c>
    </row>
    <row r="2929" spans="1:8">
      <c r="A2929" t="s">
        <v>10725</v>
      </c>
      <c r="B2929" t="s">
        <v>10726</v>
      </c>
      <c r="C2929" t="s">
        <v>10727</v>
      </c>
      <c r="D2929" t="s">
        <v>2447</v>
      </c>
      <c r="E2929" t="s">
        <v>236</v>
      </c>
      <c r="F2929" t="s">
        <v>10728</v>
      </c>
      <c r="G2929" t="s">
        <v>10729</v>
      </c>
      <c r="H2929" t="str">
        <f>"01827701606"</f>
        <v>01827701606</v>
      </c>
    </row>
    <row r="2930" spans="1:8">
      <c r="A2930" t="s">
        <v>10730</v>
      </c>
      <c r="B2930" t="s">
        <v>10731</v>
      </c>
      <c r="C2930" t="s">
        <v>724</v>
      </c>
      <c r="D2930" t="s">
        <v>297</v>
      </c>
      <c r="E2930" t="s">
        <v>821</v>
      </c>
      <c r="F2930" t="s">
        <v>10732</v>
      </c>
      <c r="G2930" t="s">
        <v>10733</v>
      </c>
      <c r="H2930" t="str">
        <f>"01614461122"</f>
        <v>01614461122</v>
      </c>
    </row>
    <row r="2931" spans="1:8">
      <c r="A2931" t="s">
        <v>10734</v>
      </c>
      <c r="B2931" t="s">
        <v>10735</v>
      </c>
      <c r="C2931" t="s">
        <v>8886</v>
      </c>
      <c r="D2931" t="s">
        <v>2233</v>
      </c>
      <c r="E2931" t="s">
        <v>164</v>
      </c>
      <c r="F2931" t="s">
        <v>10736</v>
      </c>
      <c r="G2931" t="s">
        <v>10737</v>
      </c>
      <c r="H2931" t="str">
        <f>"01425 278 866"</f>
        <v>01425 278 866</v>
      </c>
    </row>
    <row r="2932" spans="1:8">
      <c r="A2932" t="s">
        <v>10734</v>
      </c>
      <c r="B2932" t="s">
        <v>10738</v>
      </c>
      <c r="C2932" t="s">
        <v>10739</v>
      </c>
      <c r="D2932" t="s">
        <v>1638</v>
      </c>
      <c r="F2932" t="s">
        <v>10740</v>
      </c>
      <c r="G2932" t="s">
        <v>10741</v>
      </c>
      <c r="H2932" t="str">
        <f>"01202 849242"</f>
        <v>01202 849242</v>
      </c>
    </row>
    <row r="2933" spans="1:8">
      <c r="A2933" t="s">
        <v>10734</v>
      </c>
      <c r="B2933" t="s">
        <v>10742</v>
      </c>
      <c r="D2933" t="s">
        <v>1638</v>
      </c>
      <c r="F2933" t="s">
        <v>1558</v>
      </c>
      <c r="G2933" t="s">
        <v>10743</v>
      </c>
      <c r="H2933" t="str">
        <f>"01202 708634"</f>
        <v>01202 708634</v>
      </c>
    </row>
    <row r="2934" spans="1:8">
      <c r="A2934" t="s">
        <v>10734</v>
      </c>
      <c r="B2934" t="s">
        <v>10744</v>
      </c>
      <c r="D2934" t="s">
        <v>10745</v>
      </c>
      <c r="E2934" t="s">
        <v>164</v>
      </c>
      <c r="F2934" t="s">
        <v>10746</v>
      </c>
      <c r="G2934" t="s">
        <v>10747</v>
      </c>
      <c r="H2934" t="str">
        <f>"01425 652194"</f>
        <v>01425 652194</v>
      </c>
    </row>
    <row r="2935" spans="1:8">
      <c r="A2935" t="s">
        <v>10748</v>
      </c>
      <c r="B2935" t="s">
        <v>10749</v>
      </c>
      <c r="D2935" t="s">
        <v>10750</v>
      </c>
      <c r="E2935" t="s">
        <v>730</v>
      </c>
      <c r="F2935" t="s">
        <v>10751</v>
      </c>
      <c r="G2935" t="s">
        <v>10752</v>
      </c>
      <c r="H2935" t="str">
        <f>"01670 293333"</f>
        <v>01670 293333</v>
      </c>
    </row>
    <row r="2936" spans="1:8">
      <c r="A2936" t="s">
        <v>10753</v>
      </c>
      <c r="B2936" t="s">
        <v>10754</v>
      </c>
      <c r="D2936" t="s">
        <v>57</v>
      </c>
      <c r="F2936" t="s">
        <v>10755</v>
      </c>
      <c r="G2936" t="s">
        <v>10756</v>
      </c>
      <c r="H2936" t="str">
        <f>"02078224111"</f>
        <v>02078224111</v>
      </c>
    </row>
    <row r="2937" spans="1:8">
      <c r="A2937" t="s">
        <v>10753</v>
      </c>
      <c r="B2937" t="s">
        <v>10757</v>
      </c>
      <c r="D2937" t="s">
        <v>76</v>
      </c>
      <c r="E2937" t="s">
        <v>520</v>
      </c>
      <c r="F2937" t="s">
        <v>10758</v>
      </c>
      <c r="G2937" t="s">
        <v>10759</v>
      </c>
      <c r="H2937" t="str">
        <f>"01273 685888"</f>
        <v>01273 685888</v>
      </c>
    </row>
    <row r="2938" spans="1:8">
      <c r="A2938" t="s">
        <v>10760</v>
      </c>
      <c r="B2938" t="s">
        <v>10761</v>
      </c>
      <c r="D2938" t="s">
        <v>4418</v>
      </c>
      <c r="F2938" t="s">
        <v>10762</v>
      </c>
      <c r="G2938" t="s">
        <v>10763</v>
      </c>
      <c r="H2938" t="str">
        <f>"01978 355755"</f>
        <v>01978 355755</v>
      </c>
    </row>
    <row r="2939" spans="1:8">
      <c r="A2939" t="s">
        <v>10760</v>
      </c>
      <c r="B2939" t="s">
        <v>10764</v>
      </c>
      <c r="D2939" t="s">
        <v>4422</v>
      </c>
      <c r="E2939" t="s">
        <v>7124</v>
      </c>
      <c r="F2939" t="s">
        <v>10765</v>
      </c>
      <c r="G2939" t="s">
        <v>10766</v>
      </c>
      <c r="H2939" t="str">
        <f>"01244 810 830"</f>
        <v>01244 810 830</v>
      </c>
    </row>
    <row r="2940" spans="1:8">
      <c r="A2940" t="s">
        <v>10760</v>
      </c>
      <c r="B2940" t="s">
        <v>10767</v>
      </c>
      <c r="D2940" t="s">
        <v>6827</v>
      </c>
      <c r="E2940" t="s">
        <v>315</v>
      </c>
      <c r="F2940" t="s">
        <v>10768</v>
      </c>
      <c r="G2940" t="s">
        <v>10769</v>
      </c>
      <c r="H2940" t="str">
        <f>"0151 705 1700"</f>
        <v>0151 705 1700</v>
      </c>
    </row>
    <row r="2941" spans="1:8">
      <c r="A2941" t="s">
        <v>10760</v>
      </c>
      <c r="B2941" t="s">
        <v>10770</v>
      </c>
      <c r="D2941" t="s">
        <v>8622</v>
      </c>
      <c r="E2941" t="s">
        <v>7124</v>
      </c>
      <c r="F2941" t="s">
        <v>10771</v>
      </c>
      <c r="G2941" t="s">
        <v>10772</v>
      </c>
      <c r="H2941" t="str">
        <f>"01745 345355"</f>
        <v>01745 345355</v>
      </c>
    </row>
    <row r="2942" spans="1:8">
      <c r="A2942" t="s">
        <v>10760</v>
      </c>
      <c r="B2942" t="s">
        <v>10773</v>
      </c>
      <c r="D2942" t="s">
        <v>8625</v>
      </c>
      <c r="E2942" t="s">
        <v>10774</v>
      </c>
      <c r="F2942" t="s">
        <v>10775</v>
      </c>
      <c r="G2942" t="s">
        <v>10776</v>
      </c>
      <c r="H2942" t="str">
        <f>"01492 531180"</f>
        <v>01492 531180</v>
      </c>
    </row>
    <row r="2943" spans="1:8">
      <c r="A2943" t="s">
        <v>10760</v>
      </c>
      <c r="B2943" t="s">
        <v>10777</v>
      </c>
      <c r="D2943" t="s">
        <v>440</v>
      </c>
      <c r="E2943" t="s">
        <v>4424</v>
      </c>
      <c r="F2943" t="s">
        <v>10778</v>
      </c>
      <c r="G2943" t="s">
        <v>10763</v>
      </c>
      <c r="H2943" t="str">
        <f>"01244 848820"</f>
        <v>01244 848820</v>
      </c>
    </row>
    <row r="2944" spans="1:8">
      <c r="A2944" t="s">
        <v>10779</v>
      </c>
      <c r="B2944" t="s">
        <v>10780</v>
      </c>
      <c r="D2944" t="s">
        <v>14</v>
      </c>
      <c r="E2944" t="s">
        <v>16</v>
      </c>
      <c r="F2944" t="s">
        <v>10781</v>
      </c>
      <c r="G2944" t="s">
        <v>10782</v>
      </c>
      <c r="H2944" t="str">
        <f>"0121 234 0000"</f>
        <v>0121 234 0000</v>
      </c>
    </row>
    <row r="2945" spans="1:8">
      <c r="A2945" t="s">
        <v>10779</v>
      </c>
      <c r="B2945" t="s">
        <v>10783</v>
      </c>
      <c r="C2945" t="s">
        <v>10784</v>
      </c>
      <c r="D2945" t="s">
        <v>481</v>
      </c>
      <c r="F2945" t="s">
        <v>10785</v>
      </c>
      <c r="G2945" t="s">
        <v>10782</v>
      </c>
      <c r="H2945" t="str">
        <f>"01483 577 091"</f>
        <v>01483 577 091</v>
      </c>
    </row>
    <row r="2946" spans="1:8">
      <c r="A2946" t="s">
        <v>10779</v>
      </c>
      <c r="B2946" t="s">
        <v>10786</v>
      </c>
      <c r="D2946" t="s">
        <v>409</v>
      </c>
      <c r="E2946" t="s">
        <v>410</v>
      </c>
      <c r="F2946" t="s">
        <v>10787</v>
      </c>
      <c r="G2946" t="s">
        <v>10782</v>
      </c>
      <c r="H2946" t="str">
        <f>"0115 9838200"</f>
        <v>0115 9838200</v>
      </c>
    </row>
    <row r="2947" spans="1:8">
      <c r="A2947" t="s">
        <v>10779</v>
      </c>
      <c r="B2947" t="s">
        <v>10788</v>
      </c>
      <c r="D2947" t="s">
        <v>297</v>
      </c>
      <c r="E2947" t="s">
        <v>132</v>
      </c>
      <c r="F2947" t="s">
        <v>10789</v>
      </c>
      <c r="G2947" t="s">
        <v>10782</v>
      </c>
      <c r="H2947" t="str">
        <f>"0161 836 7700"</f>
        <v>0161 836 7700</v>
      </c>
    </row>
    <row r="2948" spans="1:8">
      <c r="A2948" t="s">
        <v>10779</v>
      </c>
      <c r="B2948" t="s">
        <v>10790</v>
      </c>
      <c r="D2948" t="s">
        <v>57</v>
      </c>
      <c r="F2948" t="s">
        <v>10791</v>
      </c>
      <c r="G2948" t="s">
        <v>10782</v>
      </c>
      <c r="H2948" t="str">
        <f>"020 7653 1600"</f>
        <v>020 7653 1600</v>
      </c>
    </row>
    <row r="2949" spans="1:8">
      <c r="A2949" t="s">
        <v>10779</v>
      </c>
      <c r="B2949" t="s">
        <v>10792</v>
      </c>
      <c r="D2949" t="s">
        <v>355</v>
      </c>
      <c r="E2949" t="s">
        <v>280</v>
      </c>
      <c r="F2949" t="s">
        <v>10793</v>
      </c>
      <c r="G2949" t="s">
        <v>10782</v>
      </c>
      <c r="H2949" t="str">
        <f>"0113 218 2470"</f>
        <v>0113 218 2470</v>
      </c>
    </row>
    <row r="2950" spans="1:8">
      <c r="A2950" t="s">
        <v>10794</v>
      </c>
      <c r="B2950" t="s">
        <v>10795</v>
      </c>
      <c r="C2950" t="s">
        <v>10193</v>
      </c>
      <c r="D2950" t="s">
        <v>10796</v>
      </c>
      <c r="E2950" t="s">
        <v>16</v>
      </c>
      <c r="F2950" t="s">
        <v>10797</v>
      </c>
      <c r="G2950" t="s">
        <v>10798</v>
      </c>
      <c r="H2950" t="str">
        <f>"01922459000"</f>
        <v>01922459000</v>
      </c>
    </row>
    <row r="2951" spans="1:8">
      <c r="A2951" t="s">
        <v>10799</v>
      </c>
      <c r="B2951" t="s">
        <v>10800</v>
      </c>
      <c r="D2951" t="s">
        <v>5146</v>
      </c>
      <c r="E2951" t="s">
        <v>736</v>
      </c>
      <c r="F2951" t="s">
        <v>10801</v>
      </c>
      <c r="G2951" t="s">
        <v>10802</v>
      </c>
      <c r="H2951" t="str">
        <f>"02070011115"</f>
        <v>02070011115</v>
      </c>
    </row>
    <row r="2952" spans="1:8">
      <c r="A2952" t="s">
        <v>10803</v>
      </c>
      <c r="B2952" t="s">
        <v>10804</v>
      </c>
      <c r="C2952" t="s">
        <v>2897</v>
      </c>
      <c r="D2952" t="s">
        <v>3488</v>
      </c>
      <c r="E2952" t="s">
        <v>10805</v>
      </c>
      <c r="F2952" t="s">
        <v>10806</v>
      </c>
      <c r="G2952" t="s">
        <v>10807</v>
      </c>
      <c r="H2952" t="str">
        <f>"01377 252022"</f>
        <v>01377 252022</v>
      </c>
    </row>
    <row r="2953" spans="1:8">
      <c r="A2953" t="s">
        <v>10803</v>
      </c>
      <c r="B2953" t="s">
        <v>10808</v>
      </c>
      <c r="D2953" t="s">
        <v>1426</v>
      </c>
      <c r="E2953" t="s">
        <v>10805</v>
      </c>
      <c r="F2953" t="s">
        <v>10809</v>
      </c>
      <c r="G2953" t="s">
        <v>10810</v>
      </c>
      <c r="H2953" t="str">
        <f>"01482 323697"</f>
        <v>01482 323697</v>
      </c>
    </row>
    <row r="2954" spans="1:8">
      <c r="A2954" t="s">
        <v>10803</v>
      </c>
      <c r="B2954" t="s">
        <v>10811</v>
      </c>
      <c r="C2954" t="s">
        <v>10812</v>
      </c>
      <c r="D2954" t="s">
        <v>1879</v>
      </c>
      <c r="E2954" t="s">
        <v>10805</v>
      </c>
      <c r="F2954" t="s">
        <v>10813</v>
      </c>
      <c r="G2954" t="s">
        <v>10814</v>
      </c>
      <c r="H2954" t="str">
        <f>"01262 678128"</f>
        <v>01262 678128</v>
      </c>
    </row>
    <row r="2955" spans="1:8">
      <c r="A2955" t="s">
        <v>10815</v>
      </c>
      <c r="B2955" t="s">
        <v>10816</v>
      </c>
      <c r="D2955" t="s">
        <v>3920</v>
      </c>
      <c r="E2955" t="s">
        <v>3916</v>
      </c>
      <c r="F2955" t="s">
        <v>10817</v>
      </c>
      <c r="G2955" t="s">
        <v>10818</v>
      </c>
      <c r="H2955" t="str">
        <f>"01745 536030"</f>
        <v>01745 536030</v>
      </c>
    </row>
    <row r="2956" spans="1:8">
      <c r="A2956" t="s">
        <v>10815</v>
      </c>
      <c r="B2956" t="s">
        <v>10819</v>
      </c>
      <c r="D2956" t="s">
        <v>440</v>
      </c>
      <c r="E2956" t="s">
        <v>663</v>
      </c>
      <c r="F2956" t="s">
        <v>10778</v>
      </c>
      <c r="G2956" t="s">
        <v>10818</v>
      </c>
      <c r="H2956" t="str">
        <f>"01244 699900"</f>
        <v>01244 699900</v>
      </c>
    </row>
    <row r="2957" spans="1:8">
      <c r="A2957" t="s">
        <v>10815</v>
      </c>
      <c r="B2957" t="s">
        <v>5312</v>
      </c>
      <c r="D2957" t="s">
        <v>10820</v>
      </c>
      <c r="E2957" t="s">
        <v>10821</v>
      </c>
      <c r="F2957" t="s">
        <v>10822</v>
      </c>
      <c r="G2957" t="s">
        <v>10818</v>
      </c>
      <c r="H2957" t="str">
        <f>"01248663898"</f>
        <v>01248663898</v>
      </c>
    </row>
    <row r="2958" spans="1:8">
      <c r="A2958" t="s">
        <v>10823</v>
      </c>
      <c r="B2958" t="s">
        <v>10824</v>
      </c>
      <c r="D2958" t="s">
        <v>1813</v>
      </c>
      <c r="F2958" t="s">
        <v>10825</v>
      </c>
      <c r="G2958" t="s">
        <v>10826</v>
      </c>
      <c r="H2958" t="str">
        <f>"01670 505844"</f>
        <v>01670 505844</v>
      </c>
    </row>
    <row r="2959" spans="1:8">
      <c r="A2959" t="s">
        <v>10827</v>
      </c>
      <c r="B2959" t="s">
        <v>10828</v>
      </c>
      <c r="D2959" t="s">
        <v>1864</v>
      </c>
      <c r="E2959" t="s">
        <v>435</v>
      </c>
      <c r="F2959" t="s">
        <v>10829</v>
      </c>
      <c r="G2959" t="s">
        <v>10830</v>
      </c>
      <c r="H2959" t="str">
        <f>"01183044815"</f>
        <v>01183044815</v>
      </c>
    </row>
    <row r="2960" spans="1:8">
      <c r="A2960" t="s">
        <v>10831</v>
      </c>
      <c r="B2960" t="s">
        <v>10832</v>
      </c>
      <c r="C2960" t="s">
        <v>10833</v>
      </c>
      <c r="D2960" t="s">
        <v>3387</v>
      </c>
      <c r="E2960" t="s">
        <v>1458</v>
      </c>
      <c r="F2960" t="s">
        <v>10834</v>
      </c>
      <c r="G2960" t="s">
        <v>10835</v>
      </c>
      <c r="H2960" t="str">
        <f>"0191 271 8280"</f>
        <v>0191 271 8280</v>
      </c>
    </row>
    <row r="2961" spans="1:8">
      <c r="A2961" t="s">
        <v>10836</v>
      </c>
      <c r="B2961" t="s">
        <v>10837</v>
      </c>
      <c r="D2961" t="s">
        <v>10838</v>
      </c>
      <c r="E2961" t="s">
        <v>1180</v>
      </c>
      <c r="F2961" t="s">
        <v>5458</v>
      </c>
      <c r="G2961" t="s">
        <v>10839</v>
      </c>
      <c r="H2961" t="str">
        <f>"01604609560"</f>
        <v>01604609560</v>
      </c>
    </row>
    <row r="2962" spans="1:8">
      <c r="A2962" t="s">
        <v>10840</v>
      </c>
      <c r="B2962" t="s">
        <v>10841</v>
      </c>
      <c r="C2962" t="s">
        <v>10842</v>
      </c>
      <c r="D2962" t="s">
        <v>741</v>
      </c>
      <c r="E2962" t="s">
        <v>742</v>
      </c>
      <c r="F2962" t="s">
        <v>10843</v>
      </c>
      <c r="G2962" t="s">
        <v>10844</v>
      </c>
      <c r="H2962" t="str">
        <f>"01508486462"</f>
        <v>01508486462</v>
      </c>
    </row>
    <row r="2963" spans="1:8">
      <c r="A2963" t="s">
        <v>10845</v>
      </c>
      <c r="B2963" t="s">
        <v>10846</v>
      </c>
      <c r="D2963" t="s">
        <v>5269</v>
      </c>
      <c r="E2963" t="s">
        <v>736</v>
      </c>
      <c r="F2963" t="s">
        <v>10847</v>
      </c>
      <c r="G2963" t="s">
        <v>10848</v>
      </c>
      <c r="H2963" t="str">
        <f>"01206733733"</f>
        <v>01206733733</v>
      </c>
    </row>
    <row r="2964" spans="1:8">
      <c r="A2964" t="s">
        <v>10845</v>
      </c>
      <c r="B2964" t="s">
        <v>10849</v>
      </c>
      <c r="D2964" t="s">
        <v>3687</v>
      </c>
      <c r="E2964" t="s">
        <v>736</v>
      </c>
      <c r="F2964" t="s">
        <v>10850</v>
      </c>
      <c r="G2964" t="s">
        <v>10851</v>
      </c>
      <c r="H2964" t="str">
        <f>"01255 679222"</f>
        <v>01255 679222</v>
      </c>
    </row>
    <row r="2965" spans="1:8">
      <c r="A2965" t="s">
        <v>10845</v>
      </c>
      <c r="B2965" t="s">
        <v>3530</v>
      </c>
      <c r="D2965" t="s">
        <v>10852</v>
      </c>
      <c r="E2965" t="s">
        <v>736</v>
      </c>
      <c r="F2965" t="s">
        <v>10853</v>
      </c>
      <c r="G2965" t="s">
        <v>10851</v>
      </c>
      <c r="H2965" t="str">
        <f>"01206392201"</f>
        <v>01206392201</v>
      </c>
    </row>
    <row r="2966" spans="1:8">
      <c r="A2966" t="s">
        <v>10854</v>
      </c>
      <c r="B2966" t="s">
        <v>10855</v>
      </c>
      <c r="C2966" t="s">
        <v>10856</v>
      </c>
      <c r="D2966" t="s">
        <v>256</v>
      </c>
      <c r="E2966" t="s">
        <v>1352</v>
      </c>
      <c r="F2966" t="s">
        <v>2072</v>
      </c>
      <c r="G2966" t="s">
        <v>10857</v>
      </c>
      <c r="H2966" t="str">
        <f>"01642 247656"</f>
        <v>01642 247656</v>
      </c>
    </row>
    <row r="2967" spans="1:8">
      <c r="A2967" t="s">
        <v>10854</v>
      </c>
      <c r="B2967" t="s">
        <v>10858</v>
      </c>
      <c r="C2967" t="s">
        <v>10859</v>
      </c>
      <c r="D2967" t="s">
        <v>247</v>
      </c>
      <c r="E2967" t="s">
        <v>1352</v>
      </c>
      <c r="F2967" t="s">
        <v>10860</v>
      </c>
      <c r="G2967" t="s">
        <v>10861</v>
      </c>
      <c r="H2967" t="str">
        <f>"01642 247656"</f>
        <v>01642 247656</v>
      </c>
    </row>
    <row r="2968" spans="1:8">
      <c r="A2968" t="s">
        <v>10854</v>
      </c>
      <c r="B2968" t="s">
        <v>10862</v>
      </c>
      <c r="D2968" t="s">
        <v>256</v>
      </c>
      <c r="E2968" t="s">
        <v>1352</v>
      </c>
      <c r="F2968" t="s">
        <v>10863</v>
      </c>
      <c r="G2968" t="s">
        <v>10857</v>
      </c>
      <c r="H2968" t="str">
        <f>"01642 247656"</f>
        <v>01642 247656</v>
      </c>
    </row>
    <row r="2969" spans="1:8">
      <c r="A2969" t="s">
        <v>10854</v>
      </c>
      <c r="B2969" t="s">
        <v>10864</v>
      </c>
      <c r="D2969" t="s">
        <v>3523</v>
      </c>
      <c r="E2969" t="s">
        <v>1487</v>
      </c>
      <c r="F2969" t="s">
        <v>10865</v>
      </c>
      <c r="G2969" t="s">
        <v>10857</v>
      </c>
      <c r="H2969" t="str">
        <f>"01325 462598 "</f>
        <v xml:space="preserve">01325 462598 </v>
      </c>
    </row>
    <row r="2970" spans="1:8">
      <c r="A2970" t="s">
        <v>10854</v>
      </c>
      <c r="B2970" t="s">
        <v>10866</v>
      </c>
      <c r="D2970" t="s">
        <v>1345</v>
      </c>
      <c r="E2970" t="s">
        <v>616</v>
      </c>
      <c r="F2970" t="s">
        <v>10867</v>
      </c>
      <c r="G2970" t="s">
        <v>10857</v>
      </c>
      <c r="H2970" t="str">
        <f>"01423 787015"</f>
        <v>01423 787015</v>
      </c>
    </row>
    <row r="2971" spans="1:8">
      <c r="A2971" t="s">
        <v>10868</v>
      </c>
      <c r="B2971" t="s">
        <v>10869</v>
      </c>
      <c r="D2971" t="s">
        <v>2488</v>
      </c>
      <c r="E2971" t="s">
        <v>184</v>
      </c>
      <c r="F2971" t="s">
        <v>10870</v>
      </c>
      <c r="G2971" t="s">
        <v>10871</v>
      </c>
      <c r="H2971" t="str">
        <f>"01923 975410"</f>
        <v>01923 975410</v>
      </c>
    </row>
    <row r="2972" spans="1:8">
      <c r="A2972" t="s">
        <v>10872</v>
      </c>
      <c r="B2972" t="s">
        <v>10873</v>
      </c>
      <c r="D2972" t="s">
        <v>849</v>
      </c>
      <c r="E2972" t="s">
        <v>121</v>
      </c>
      <c r="F2972" t="s">
        <v>10874</v>
      </c>
      <c r="G2972" t="s">
        <v>10875</v>
      </c>
      <c r="H2972" t="str">
        <f>"01252 494101"</f>
        <v>01252 494101</v>
      </c>
    </row>
    <row r="2973" spans="1:8">
      <c r="A2973" t="s">
        <v>10876</v>
      </c>
      <c r="B2973" t="s">
        <v>10877</v>
      </c>
      <c r="D2973" t="s">
        <v>152</v>
      </c>
      <c r="E2973" t="s">
        <v>153</v>
      </c>
      <c r="F2973" t="s">
        <v>10878</v>
      </c>
      <c r="G2973" t="s">
        <v>10879</v>
      </c>
      <c r="H2973" t="str">
        <f>"01189393999"</f>
        <v>01189393999</v>
      </c>
    </row>
    <row r="2974" spans="1:8">
      <c r="A2974" t="s">
        <v>10880</v>
      </c>
      <c r="B2974" t="s">
        <v>10881</v>
      </c>
      <c r="C2974" t="s">
        <v>10882</v>
      </c>
      <c r="D2974" t="s">
        <v>177</v>
      </c>
      <c r="E2974" t="s">
        <v>3140</v>
      </c>
      <c r="F2974" t="s">
        <v>10883</v>
      </c>
      <c r="G2974" t="s">
        <v>10884</v>
      </c>
      <c r="H2974" t="str">
        <f>"01633 386026"</f>
        <v>01633 386026</v>
      </c>
    </row>
    <row r="2975" spans="1:8">
      <c r="A2975" t="s">
        <v>10885</v>
      </c>
      <c r="B2975" t="s">
        <v>10886</v>
      </c>
      <c r="D2975" t="s">
        <v>14</v>
      </c>
      <c r="F2975" t="s">
        <v>10887</v>
      </c>
      <c r="G2975" t="s">
        <v>10888</v>
      </c>
      <c r="H2975" t="str">
        <f>"0345 2019 1000"</f>
        <v>0345 2019 1000</v>
      </c>
    </row>
    <row r="2976" spans="1:8">
      <c r="A2976" t="s">
        <v>10885</v>
      </c>
      <c r="B2976" t="s">
        <v>10889</v>
      </c>
      <c r="C2976" t="s">
        <v>5520</v>
      </c>
      <c r="D2976" t="s">
        <v>61</v>
      </c>
      <c r="F2976" t="s">
        <v>5521</v>
      </c>
      <c r="G2976" t="s">
        <v>10888</v>
      </c>
      <c r="H2976" t="str">
        <f>"0345 209 1000"</f>
        <v>0345 209 1000</v>
      </c>
    </row>
    <row r="2977" spans="1:8">
      <c r="A2977" t="s">
        <v>10885</v>
      </c>
      <c r="B2977" t="s">
        <v>10890</v>
      </c>
      <c r="C2977" t="s">
        <v>1137</v>
      </c>
      <c r="D2977" t="s">
        <v>1135</v>
      </c>
      <c r="E2977" t="s">
        <v>464</v>
      </c>
      <c r="F2977" t="s">
        <v>10891</v>
      </c>
      <c r="G2977" t="s">
        <v>10888</v>
      </c>
      <c r="H2977" t="str">
        <f>"0345 209 1000"</f>
        <v>0345 209 1000</v>
      </c>
    </row>
    <row r="2978" spans="1:8">
      <c r="A2978" t="s">
        <v>10885</v>
      </c>
      <c r="B2978" t="s">
        <v>10892</v>
      </c>
      <c r="C2978" t="s">
        <v>859</v>
      </c>
      <c r="D2978" t="s">
        <v>124</v>
      </c>
      <c r="F2978" t="s">
        <v>860</v>
      </c>
      <c r="G2978" t="s">
        <v>10888</v>
      </c>
      <c r="H2978" t="str">
        <f>"0345 209 1406"</f>
        <v>0345 209 1406</v>
      </c>
    </row>
    <row r="2979" spans="1:8">
      <c r="A2979" t="s">
        <v>10885</v>
      </c>
      <c r="B2979" t="s">
        <v>10893</v>
      </c>
      <c r="D2979" t="s">
        <v>57</v>
      </c>
      <c r="E2979" t="s">
        <v>57</v>
      </c>
      <c r="F2979" t="s">
        <v>10894</v>
      </c>
      <c r="G2979" t="s">
        <v>10888</v>
      </c>
      <c r="H2979" t="str">
        <f>"0845 209 1000"</f>
        <v>0845 209 1000</v>
      </c>
    </row>
    <row r="2980" spans="1:8">
      <c r="A2980" t="s">
        <v>10895</v>
      </c>
      <c r="B2980" t="s">
        <v>10896</v>
      </c>
      <c r="D2980" t="s">
        <v>57</v>
      </c>
      <c r="F2980" t="s">
        <v>10897</v>
      </c>
      <c r="G2980" t="s">
        <v>10898</v>
      </c>
      <c r="H2980" t="str">
        <f>"020 8050 3600"</f>
        <v>020 8050 3600</v>
      </c>
    </row>
    <row r="2981" spans="1:8">
      <c r="A2981" t="s">
        <v>10895</v>
      </c>
      <c r="B2981" t="s">
        <v>10899</v>
      </c>
      <c r="D2981" t="s">
        <v>1179</v>
      </c>
      <c r="F2981" t="s">
        <v>5458</v>
      </c>
      <c r="G2981" t="s">
        <v>10898</v>
      </c>
      <c r="H2981" t="str">
        <f>"01604 267800"</f>
        <v>01604 267800</v>
      </c>
    </row>
    <row r="2982" spans="1:8">
      <c r="A2982" t="s">
        <v>10900</v>
      </c>
      <c r="B2982" t="s">
        <v>10901</v>
      </c>
      <c r="C2982" t="s">
        <v>10902</v>
      </c>
      <c r="D2982" t="s">
        <v>1313</v>
      </c>
      <c r="F2982" t="s">
        <v>5492</v>
      </c>
      <c r="G2982" t="s">
        <v>10903</v>
      </c>
      <c r="H2982" t="str">
        <f>"01942206060"</f>
        <v>01942206060</v>
      </c>
    </row>
    <row r="2983" spans="1:8">
      <c r="A2983" t="s">
        <v>10904</v>
      </c>
      <c r="B2983" t="s">
        <v>10905</v>
      </c>
      <c r="D2983" t="s">
        <v>57</v>
      </c>
      <c r="E2983" t="s">
        <v>435</v>
      </c>
      <c r="F2983" t="s">
        <v>10906</v>
      </c>
      <c r="G2983" t="s">
        <v>10907</v>
      </c>
      <c r="H2983" t="str">
        <f>"020 3856 3339"</f>
        <v>020 3856 3339</v>
      </c>
    </row>
    <row r="2984" spans="1:8">
      <c r="A2984" t="s">
        <v>10908</v>
      </c>
      <c r="B2984" t="s">
        <v>10909</v>
      </c>
      <c r="C2984" t="s">
        <v>10910</v>
      </c>
      <c r="D2984" t="s">
        <v>1497</v>
      </c>
      <c r="E2984" t="s">
        <v>1033</v>
      </c>
      <c r="F2984" t="s">
        <v>10911</v>
      </c>
      <c r="G2984" t="s">
        <v>10912</v>
      </c>
      <c r="H2984" t="str">
        <f>"01298 28602"</f>
        <v>01298 28602</v>
      </c>
    </row>
    <row r="2985" spans="1:8">
      <c r="A2985" t="s">
        <v>10908</v>
      </c>
      <c r="B2985" t="s">
        <v>10913</v>
      </c>
      <c r="D2985" t="s">
        <v>9299</v>
      </c>
      <c r="E2985" t="s">
        <v>1033</v>
      </c>
      <c r="F2985" t="s">
        <v>10914</v>
      </c>
      <c r="G2985" t="s">
        <v>10912</v>
      </c>
      <c r="H2985" t="str">
        <f>"01298 812138"</f>
        <v>01298 812138</v>
      </c>
    </row>
    <row r="2986" spans="1:8">
      <c r="A2986" t="s">
        <v>10908</v>
      </c>
      <c r="B2986" t="s">
        <v>10916</v>
      </c>
      <c r="D2986" t="s">
        <v>10915</v>
      </c>
      <c r="E2986" t="s">
        <v>315</v>
      </c>
      <c r="F2986" t="s">
        <v>10917</v>
      </c>
      <c r="G2986" t="s">
        <v>10912</v>
      </c>
      <c r="H2986" t="str">
        <f>"01663765511"</f>
        <v>01663765511</v>
      </c>
    </row>
    <row r="2987" spans="1:8">
      <c r="A2987" t="s">
        <v>10918</v>
      </c>
      <c r="B2987" t="s">
        <v>1865</v>
      </c>
      <c r="D2987" t="s">
        <v>10919</v>
      </c>
      <c r="E2987" t="s">
        <v>1033</v>
      </c>
      <c r="F2987" t="s">
        <v>10920</v>
      </c>
      <c r="G2987" t="s">
        <v>10921</v>
      </c>
      <c r="H2987" t="str">
        <f>"01773744744"</f>
        <v>01773744744</v>
      </c>
    </row>
    <row r="2988" spans="1:8">
      <c r="A2988" t="s">
        <v>10918</v>
      </c>
      <c r="B2988" t="s">
        <v>10922</v>
      </c>
      <c r="C2988" t="s">
        <v>10923</v>
      </c>
      <c r="D2988" t="s">
        <v>1214</v>
      </c>
      <c r="E2988" t="s">
        <v>410</v>
      </c>
      <c r="F2988" t="s">
        <v>10924</v>
      </c>
      <c r="G2988" t="s">
        <v>10925</v>
      </c>
      <c r="H2988" t="str">
        <f>"0115 972 5222"</f>
        <v>0115 972 5222</v>
      </c>
    </row>
    <row r="2989" spans="1:8">
      <c r="A2989" t="s">
        <v>10918</v>
      </c>
      <c r="B2989" t="s">
        <v>10926</v>
      </c>
      <c r="C2989" t="s">
        <v>10927</v>
      </c>
      <c r="D2989" t="s">
        <v>1214</v>
      </c>
      <c r="E2989" t="s">
        <v>410</v>
      </c>
      <c r="F2989" t="s">
        <v>10928</v>
      </c>
      <c r="G2989" t="s">
        <v>10929</v>
      </c>
      <c r="H2989" t="str">
        <f>"0115 922 1591"</f>
        <v>0115 922 1591</v>
      </c>
    </row>
    <row r="2990" spans="1:8">
      <c r="A2990" t="s">
        <v>10918</v>
      </c>
      <c r="B2990" t="s">
        <v>10930</v>
      </c>
      <c r="D2990" t="s">
        <v>10931</v>
      </c>
      <c r="E2990" t="s">
        <v>10932</v>
      </c>
      <c r="F2990" t="s">
        <v>10933</v>
      </c>
      <c r="G2990" t="s">
        <v>10934</v>
      </c>
      <c r="H2990" t="str">
        <f>"01773 821 665"</f>
        <v>01773 821 665</v>
      </c>
    </row>
    <row r="2991" spans="1:8">
      <c r="A2991" t="s">
        <v>10918</v>
      </c>
      <c r="B2991" t="s">
        <v>10935</v>
      </c>
      <c r="C2991" t="s">
        <v>1213</v>
      </c>
      <c r="D2991" t="s">
        <v>409</v>
      </c>
      <c r="F2991" t="s">
        <v>10936</v>
      </c>
      <c r="G2991" t="s">
        <v>10937</v>
      </c>
      <c r="H2991" t="str">
        <f>"0115 896 3390"</f>
        <v>0115 896 3390</v>
      </c>
    </row>
    <row r="2992" spans="1:8">
      <c r="A2992" t="s">
        <v>10938</v>
      </c>
      <c r="B2992" t="s">
        <v>10939</v>
      </c>
      <c r="D2992" t="s">
        <v>163</v>
      </c>
      <c r="E2992" t="s">
        <v>164</v>
      </c>
      <c r="F2992" t="s">
        <v>8687</v>
      </c>
      <c r="G2992" t="s">
        <v>10940</v>
      </c>
      <c r="H2992" t="str">
        <f>"01202307940"</f>
        <v>01202307940</v>
      </c>
    </row>
    <row r="2993" spans="1:8">
      <c r="A2993" t="s">
        <v>10941</v>
      </c>
      <c r="B2993" t="s">
        <v>10942</v>
      </c>
      <c r="D2993" t="s">
        <v>10943</v>
      </c>
      <c r="E2993" t="s">
        <v>3940</v>
      </c>
      <c r="F2993" t="s">
        <v>10944</v>
      </c>
      <c r="G2993" t="s">
        <v>10945</v>
      </c>
      <c r="H2993" t="str">
        <f>"02476 448585"</f>
        <v>02476 448585</v>
      </c>
    </row>
    <row r="2994" spans="1:8">
      <c r="A2994" t="s">
        <v>10941</v>
      </c>
      <c r="B2994" t="s">
        <v>10946</v>
      </c>
      <c r="C2994" t="s">
        <v>10947</v>
      </c>
      <c r="D2994" t="s">
        <v>3938</v>
      </c>
      <c r="F2994" t="s">
        <v>10948</v>
      </c>
      <c r="G2994" t="s">
        <v>10945</v>
      </c>
      <c r="H2994" t="str">
        <f>"02476 633044"</f>
        <v>02476 633044</v>
      </c>
    </row>
    <row r="2995" spans="1:8">
      <c r="A2995" t="s">
        <v>10949</v>
      </c>
      <c r="B2995" t="s">
        <v>10950</v>
      </c>
      <c r="D2995" t="s">
        <v>1309</v>
      </c>
      <c r="F2995" t="s">
        <v>10951</v>
      </c>
      <c r="G2995" t="s">
        <v>10952</v>
      </c>
      <c r="H2995" t="str">
        <f>"01695574201"</f>
        <v>01695574201</v>
      </c>
    </row>
    <row r="2996" spans="1:8">
      <c r="A2996" t="s">
        <v>10953</v>
      </c>
      <c r="B2996" t="s">
        <v>10954</v>
      </c>
      <c r="D2996" t="s">
        <v>10955</v>
      </c>
      <c r="F2996" t="s">
        <v>10956</v>
      </c>
      <c r="G2996" t="s">
        <v>10957</v>
      </c>
      <c r="H2996" t="str">
        <f>"01613309121"</f>
        <v>01613309121</v>
      </c>
    </row>
    <row r="2997" spans="1:8">
      <c r="A2997" t="s">
        <v>10958</v>
      </c>
      <c r="B2997" t="s">
        <v>10959</v>
      </c>
      <c r="C2997" t="s">
        <v>10960</v>
      </c>
      <c r="D2997" t="s">
        <v>297</v>
      </c>
      <c r="E2997" t="s">
        <v>132</v>
      </c>
      <c r="F2997" t="s">
        <v>10961</v>
      </c>
      <c r="G2997" t="s">
        <v>10962</v>
      </c>
      <c r="H2997" t="str">
        <f>"01618726655"</f>
        <v>01618726655</v>
      </c>
    </row>
    <row r="2998" spans="1:8">
      <c r="A2998" t="s">
        <v>10963</v>
      </c>
      <c r="B2998" t="s">
        <v>10964</v>
      </c>
      <c r="D2998" t="s">
        <v>4542</v>
      </c>
      <c r="E2998" t="s">
        <v>16</v>
      </c>
      <c r="F2998" t="s">
        <v>10965</v>
      </c>
      <c r="G2998" t="s">
        <v>10966</v>
      </c>
      <c r="H2998" t="str">
        <f>"0121 7264999"</f>
        <v>0121 7264999</v>
      </c>
    </row>
    <row r="2999" spans="1:8">
      <c r="A2999" t="s">
        <v>10967</v>
      </c>
      <c r="B2999" t="s">
        <v>10968</v>
      </c>
      <c r="D2999" t="s">
        <v>355</v>
      </c>
      <c r="E2999" t="s">
        <v>280</v>
      </c>
      <c r="F2999" t="s">
        <v>10969</v>
      </c>
      <c r="G2999" t="s">
        <v>10970</v>
      </c>
      <c r="H2999" t="str">
        <f>"01132185727"</f>
        <v>01132185727</v>
      </c>
    </row>
    <row r="3000" spans="1:8">
      <c r="A3000" t="s">
        <v>10971</v>
      </c>
      <c r="B3000" t="s">
        <v>10972</v>
      </c>
      <c r="D3000" t="s">
        <v>4478</v>
      </c>
      <c r="F3000" t="s">
        <v>10973</v>
      </c>
      <c r="G3000" t="s">
        <v>10974</v>
      </c>
      <c r="H3000" t="str">
        <f>"01429 230028"</f>
        <v>01429 230028</v>
      </c>
    </row>
    <row r="3001" spans="1:8">
      <c r="A3001" t="s">
        <v>10971</v>
      </c>
      <c r="B3001" t="s">
        <v>10975</v>
      </c>
      <c r="D3001" t="s">
        <v>1486</v>
      </c>
      <c r="F3001" t="s">
        <v>10976</v>
      </c>
      <c r="G3001" t="s">
        <v>10974</v>
      </c>
      <c r="H3001" t="str">
        <f>"01913830111"</f>
        <v>01913830111</v>
      </c>
    </row>
    <row r="3002" spans="1:8">
      <c r="A3002" t="s">
        <v>10971</v>
      </c>
      <c r="B3002" t="s">
        <v>10977</v>
      </c>
      <c r="C3002" t="s">
        <v>10978</v>
      </c>
      <c r="D3002" t="s">
        <v>4475</v>
      </c>
      <c r="E3002" t="s">
        <v>1487</v>
      </c>
      <c r="F3002" t="s">
        <v>10979</v>
      </c>
      <c r="G3002" t="s">
        <v>10974</v>
      </c>
      <c r="H3002" t="str">
        <f>"01913865711"</f>
        <v>01913865711</v>
      </c>
    </row>
    <row r="3003" spans="1:8">
      <c r="A3003" t="s">
        <v>10971</v>
      </c>
      <c r="B3003" t="s">
        <v>10981</v>
      </c>
      <c r="D3003" t="s">
        <v>10980</v>
      </c>
      <c r="E3003" t="s">
        <v>10982</v>
      </c>
      <c r="F3003" t="s">
        <v>10983</v>
      </c>
      <c r="G3003" t="s">
        <v>10974</v>
      </c>
      <c r="H3003" t="str">
        <f>"01429 838225"</f>
        <v>01429 838225</v>
      </c>
    </row>
    <row r="3004" spans="1:8">
      <c r="A3004" t="s">
        <v>10984</v>
      </c>
      <c r="B3004" t="s">
        <v>10985</v>
      </c>
      <c r="D3004" t="s">
        <v>3260</v>
      </c>
      <c r="E3004" t="s">
        <v>309</v>
      </c>
      <c r="F3004" t="s">
        <v>10986</v>
      </c>
      <c r="G3004" t="s">
        <v>10987</v>
      </c>
      <c r="H3004" t="str">
        <f>"01392285000"</f>
        <v>01392285000</v>
      </c>
    </row>
    <row r="3005" spans="1:8">
      <c r="A3005" t="s">
        <v>10984</v>
      </c>
      <c r="B3005" t="s">
        <v>10989</v>
      </c>
      <c r="D3005" t="s">
        <v>10988</v>
      </c>
      <c r="E3005" t="s">
        <v>309</v>
      </c>
      <c r="F3005" t="s">
        <v>10990</v>
      </c>
      <c r="G3005" t="s">
        <v>10987</v>
      </c>
      <c r="H3005" t="str">
        <f>"01884 33818"</f>
        <v>01884 33818</v>
      </c>
    </row>
    <row r="3006" spans="1:8">
      <c r="A3006" t="s">
        <v>10991</v>
      </c>
      <c r="B3006" t="s">
        <v>10992</v>
      </c>
      <c r="C3006" t="s">
        <v>7442</v>
      </c>
      <c r="D3006" t="s">
        <v>1648</v>
      </c>
      <c r="E3006" t="s">
        <v>309</v>
      </c>
      <c r="F3006" t="s">
        <v>10993</v>
      </c>
      <c r="G3006" t="s">
        <v>10994</v>
      </c>
      <c r="H3006" t="str">
        <f>"01237425225"</f>
        <v>01237425225</v>
      </c>
    </row>
    <row r="3007" spans="1:8">
      <c r="A3007" t="s">
        <v>10991</v>
      </c>
      <c r="B3007" t="s">
        <v>10995</v>
      </c>
      <c r="D3007" t="s">
        <v>3944</v>
      </c>
      <c r="E3007" t="s">
        <v>309</v>
      </c>
      <c r="F3007" t="s">
        <v>10996</v>
      </c>
      <c r="G3007" t="s">
        <v>10997</v>
      </c>
      <c r="H3007" t="str">
        <f>"01271 372128"</f>
        <v>01271 372128</v>
      </c>
    </row>
    <row r="3008" spans="1:8">
      <c r="A3008" t="s">
        <v>10991</v>
      </c>
      <c r="B3008" t="s">
        <v>10999</v>
      </c>
      <c r="D3008" t="s">
        <v>10998</v>
      </c>
      <c r="E3008" t="s">
        <v>3261</v>
      </c>
      <c r="F3008" t="s">
        <v>11000</v>
      </c>
      <c r="G3008" t="s">
        <v>11001</v>
      </c>
      <c r="H3008" t="str">
        <f>"01271 812019"</f>
        <v>01271 812019</v>
      </c>
    </row>
    <row r="3009" spans="1:8">
      <c r="A3009" t="s">
        <v>10991</v>
      </c>
      <c r="B3009" t="s">
        <v>11003</v>
      </c>
      <c r="C3009" t="s">
        <v>11004</v>
      </c>
      <c r="D3009" t="s">
        <v>11002</v>
      </c>
      <c r="E3009" t="s">
        <v>309</v>
      </c>
      <c r="F3009" t="s">
        <v>11005</v>
      </c>
      <c r="G3009" t="s">
        <v>11001</v>
      </c>
      <c r="H3009" t="str">
        <f>"01769573771"</f>
        <v>01769573771</v>
      </c>
    </row>
    <row r="3010" spans="1:8">
      <c r="A3010" t="s">
        <v>10991</v>
      </c>
      <c r="B3010" t="s">
        <v>11006</v>
      </c>
      <c r="C3010" t="s">
        <v>2668</v>
      </c>
      <c r="D3010" t="s">
        <v>2666</v>
      </c>
      <c r="F3010" t="s">
        <v>2669</v>
      </c>
      <c r="G3010" t="s">
        <v>11007</v>
      </c>
      <c r="H3010" t="str">
        <f>"01884682010"</f>
        <v>01884682010</v>
      </c>
    </row>
    <row r="3011" spans="1:8">
      <c r="A3011" t="s">
        <v>11008</v>
      </c>
      <c r="B3011" t="s">
        <v>11009</v>
      </c>
      <c r="C3011" t="s">
        <v>11010</v>
      </c>
      <c r="D3011" t="s">
        <v>4542</v>
      </c>
      <c r="E3011" t="s">
        <v>16</v>
      </c>
      <c r="F3011" t="s">
        <v>11011</v>
      </c>
      <c r="G3011" t="s">
        <v>11012</v>
      </c>
      <c r="H3011" t="str">
        <f>"01218034665 "</f>
        <v xml:space="preserve">01218034665 </v>
      </c>
    </row>
    <row r="3012" spans="1:8">
      <c r="A3012" t="s">
        <v>11013</v>
      </c>
      <c r="B3012" t="s">
        <v>8745</v>
      </c>
      <c r="D3012" t="s">
        <v>170</v>
      </c>
      <c r="E3012" t="s">
        <v>171</v>
      </c>
      <c r="F3012" t="s">
        <v>11014</v>
      </c>
      <c r="G3012" t="s">
        <v>11015</v>
      </c>
      <c r="H3012" t="str">
        <f>"01622750101"</f>
        <v>01622750101</v>
      </c>
    </row>
    <row r="3013" spans="1:8">
      <c r="A3013" t="s">
        <v>11016</v>
      </c>
      <c r="B3013" t="s">
        <v>11017</v>
      </c>
      <c r="D3013" t="s">
        <v>11018</v>
      </c>
      <c r="E3013" t="s">
        <v>846</v>
      </c>
      <c r="F3013" t="s">
        <v>11019</v>
      </c>
      <c r="G3013" t="s">
        <v>11020</v>
      </c>
      <c r="H3013" t="str">
        <f>"023 8092 6060"</f>
        <v>023 8092 6060</v>
      </c>
    </row>
    <row r="3014" spans="1:8">
      <c r="A3014" t="s">
        <v>11021</v>
      </c>
      <c r="B3014" t="s">
        <v>11022</v>
      </c>
      <c r="C3014" t="s">
        <v>11023</v>
      </c>
      <c r="D3014" t="s">
        <v>11024</v>
      </c>
      <c r="E3014" t="s">
        <v>292</v>
      </c>
      <c r="F3014" t="s">
        <v>11025</v>
      </c>
      <c r="G3014" t="s">
        <v>11026</v>
      </c>
      <c r="H3014" t="str">
        <f>"01205311511"</f>
        <v>01205311511</v>
      </c>
    </row>
    <row r="3015" spans="1:8">
      <c r="A3015" t="s">
        <v>11021</v>
      </c>
      <c r="B3015" t="s">
        <v>11027</v>
      </c>
      <c r="D3015" t="s">
        <v>7872</v>
      </c>
      <c r="E3015" t="s">
        <v>292</v>
      </c>
      <c r="F3015" t="s">
        <v>11028</v>
      </c>
      <c r="G3015" t="s">
        <v>11026</v>
      </c>
      <c r="H3015" t="str">
        <f>"01476 590200"</f>
        <v>01476 590200</v>
      </c>
    </row>
    <row r="3016" spans="1:8">
      <c r="A3016" t="s">
        <v>11021</v>
      </c>
      <c r="B3016" t="s">
        <v>11029</v>
      </c>
      <c r="D3016" t="s">
        <v>3588</v>
      </c>
      <c r="E3016" t="s">
        <v>410</v>
      </c>
      <c r="F3016" t="s">
        <v>11030</v>
      </c>
      <c r="G3016" t="s">
        <v>11026</v>
      </c>
      <c r="H3016" t="str">
        <f>"01636 594460"</f>
        <v>01636 594460</v>
      </c>
    </row>
    <row r="3017" spans="1:8">
      <c r="A3017" t="s">
        <v>11021</v>
      </c>
      <c r="B3017" t="s">
        <v>11031</v>
      </c>
      <c r="C3017" t="s">
        <v>8029</v>
      </c>
      <c r="D3017" t="s">
        <v>291</v>
      </c>
      <c r="E3017" t="s">
        <v>292</v>
      </c>
      <c r="F3017" t="s">
        <v>11032</v>
      </c>
      <c r="G3017" t="s">
        <v>11026</v>
      </c>
      <c r="H3017" t="str">
        <f>"01522 561020"</f>
        <v>01522 561020</v>
      </c>
    </row>
    <row r="3018" spans="1:8">
      <c r="A3018" t="s">
        <v>11021</v>
      </c>
      <c r="B3018" t="s">
        <v>11033</v>
      </c>
      <c r="D3018" t="s">
        <v>2094</v>
      </c>
      <c r="E3018" t="s">
        <v>292</v>
      </c>
      <c r="F3018" t="s">
        <v>11034</v>
      </c>
      <c r="G3018" t="s">
        <v>11026</v>
      </c>
      <c r="H3018" t="str">
        <f>"01529 301300"</f>
        <v>01529 301300</v>
      </c>
    </row>
    <row r="3019" spans="1:8">
      <c r="A3019" t="s">
        <v>11035</v>
      </c>
      <c r="B3019" t="s">
        <v>11036</v>
      </c>
      <c r="C3019" t="s">
        <v>11037</v>
      </c>
      <c r="D3019" t="s">
        <v>892</v>
      </c>
      <c r="F3019" t="s">
        <v>11038</v>
      </c>
      <c r="G3019" t="s">
        <v>11039</v>
      </c>
      <c r="H3019" t="str">
        <f>"0151 433 7440"</f>
        <v>0151 433 7440</v>
      </c>
    </row>
    <row r="3020" spans="1:8">
      <c r="A3020" t="s">
        <v>11040</v>
      </c>
      <c r="B3020" t="s">
        <v>11041</v>
      </c>
      <c r="C3020" t="s">
        <v>11042</v>
      </c>
      <c r="D3020" t="s">
        <v>970</v>
      </c>
      <c r="E3020" t="s">
        <v>971</v>
      </c>
      <c r="F3020" t="s">
        <v>11043</v>
      </c>
      <c r="G3020" t="s">
        <v>11044</v>
      </c>
      <c r="H3020" t="str">
        <f>"01432 278179"</f>
        <v>01432 278179</v>
      </c>
    </row>
    <row r="3021" spans="1:8">
      <c r="A3021" t="s">
        <v>11040</v>
      </c>
      <c r="B3021" t="s">
        <v>11045</v>
      </c>
      <c r="C3021" t="s">
        <v>1965</v>
      </c>
      <c r="D3021" t="s">
        <v>61</v>
      </c>
      <c r="F3021" t="s">
        <v>11046</v>
      </c>
      <c r="G3021" t="s">
        <v>11047</v>
      </c>
      <c r="H3021" t="str">
        <f>"0117 435 0014"</f>
        <v>0117 435 0014</v>
      </c>
    </row>
    <row r="3022" spans="1:8">
      <c r="A3022" t="s">
        <v>11048</v>
      </c>
      <c r="B3022" t="s">
        <v>11049</v>
      </c>
      <c r="D3022" t="s">
        <v>1300</v>
      </c>
      <c r="E3022" t="s">
        <v>132</v>
      </c>
      <c r="F3022" t="s">
        <v>11050</v>
      </c>
      <c r="G3022" t="s">
        <v>11051</v>
      </c>
      <c r="H3022" t="str">
        <f>"01706716674"</f>
        <v>01706716674</v>
      </c>
    </row>
    <row r="3023" spans="1:8">
      <c r="A3023" t="s">
        <v>11052</v>
      </c>
      <c r="B3023" t="s">
        <v>11053</v>
      </c>
      <c r="D3023" t="s">
        <v>11054</v>
      </c>
      <c r="E3023" t="s">
        <v>280</v>
      </c>
      <c r="F3023" t="s">
        <v>11055</v>
      </c>
      <c r="G3023" t="s">
        <v>11056</v>
      </c>
      <c r="H3023" t="str">
        <f>"01937326006"</f>
        <v>01937326006</v>
      </c>
    </row>
    <row r="3024" spans="1:8">
      <c r="A3024" t="s">
        <v>11052</v>
      </c>
      <c r="B3024" t="s">
        <v>11057</v>
      </c>
      <c r="C3024" t="s">
        <v>11058</v>
      </c>
      <c r="D3024" t="s">
        <v>11059</v>
      </c>
      <c r="E3024" t="s">
        <v>280</v>
      </c>
      <c r="F3024" t="s">
        <v>11060</v>
      </c>
      <c r="G3024" t="s">
        <v>11061</v>
      </c>
      <c r="H3024" t="str">
        <f>"01937 326006 "</f>
        <v xml:space="preserve">01937 326006 </v>
      </c>
    </row>
    <row r="3025" spans="1:8">
      <c r="A3025" t="s">
        <v>11062</v>
      </c>
      <c r="B3025" t="s">
        <v>11063</v>
      </c>
      <c r="C3025" t="s">
        <v>11064</v>
      </c>
      <c r="D3025" t="s">
        <v>11065</v>
      </c>
      <c r="E3025" t="s">
        <v>760</v>
      </c>
      <c r="F3025" t="s">
        <v>11066</v>
      </c>
      <c r="G3025" t="s">
        <v>11067</v>
      </c>
      <c r="H3025" t="str">
        <f>"01865722106"</f>
        <v>01865722106</v>
      </c>
    </row>
    <row r="3026" spans="1:8">
      <c r="A3026" t="s">
        <v>11062</v>
      </c>
      <c r="B3026" t="s">
        <v>11068</v>
      </c>
      <c r="D3026" t="s">
        <v>57</v>
      </c>
      <c r="F3026" t="s">
        <v>11069</v>
      </c>
      <c r="G3026" t="s">
        <v>11070</v>
      </c>
      <c r="H3026" t="str">
        <f>"0207 457 3000"</f>
        <v>0207 457 3000</v>
      </c>
    </row>
    <row r="3027" spans="1:8">
      <c r="A3027" t="s">
        <v>11062</v>
      </c>
      <c r="B3027" t="s">
        <v>11071</v>
      </c>
      <c r="C3027" t="s">
        <v>11072</v>
      </c>
      <c r="D3027" t="s">
        <v>481</v>
      </c>
      <c r="F3027" t="s">
        <v>11073</v>
      </c>
      <c r="G3027" t="s">
        <v>11070</v>
      </c>
      <c r="H3027" t="str">
        <f>"01483 791800"</f>
        <v>01483 791800</v>
      </c>
    </row>
    <row r="3028" spans="1:8">
      <c r="A3028" t="s">
        <v>11074</v>
      </c>
      <c r="B3028" t="s">
        <v>11075</v>
      </c>
      <c r="C3028" t="s">
        <v>11076</v>
      </c>
      <c r="D3028" t="s">
        <v>213</v>
      </c>
      <c r="E3028" t="s">
        <v>227</v>
      </c>
      <c r="F3028" t="s">
        <v>11077</v>
      </c>
      <c r="G3028" t="s">
        <v>11078</v>
      </c>
      <c r="H3028" t="str">
        <f>"01709 510999"</f>
        <v>01709 510999</v>
      </c>
    </row>
    <row r="3029" spans="1:8">
      <c r="A3029" t="s">
        <v>11079</v>
      </c>
      <c r="B3029" t="s">
        <v>11080</v>
      </c>
      <c r="D3029" t="s">
        <v>11081</v>
      </c>
      <c r="E3029" t="s">
        <v>464</v>
      </c>
      <c r="F3029" t="s">
        <v>11082</v>
      </c>
      <c r="G3029" t="s">
        <v>11083</v>
      </c>
      <c r="H3029" t="str">
        <f>"01460494100"</f>
        <v>01460494100</v>
      </c>
    </row>
    <row r="3030" spans="1:8">
      <c r="A3030" t="s">
        <v>11079</v>
      </c>
      <c r="B3030" t="s">
        <v>11084</v>
      </c>
      <c r="D3030" t="s">
        <v>2653</v>
      </c>
      <c r="E3030" t="s">
        <v>309</v>
      </c>
      <c r="F3030" t="s">
        <v>11085</v>
      </c>
      <c r="G3030" t="s">
        <v>11086</v>
      </c>
      <c r="H3030" t="str">
        <f>"01395876100"</f>
        <v>01395876100</v>
      </c>
    </row>
    <row r="3031" spans="1:8">
      <c r="A3031" t="s">
        <v>11079</v>
      </c>
      <c r="B3031" t="s">
        <v>11087</v>
      </c>
      <c r="D3031" t="s">
        <v>1135</v>
      </c>
      <c r="F3031" t="s">
        <v>5279</v>
      </c>
      <c r="G3031" t="s">
        <v>11086</v>
      </c>
      <c r="H3031" t="str">
        <f>"01823756060"</f>
        <v>01823756060</v>
      </c>
    </row>
    <row r="3032" spans="1:8">
      <c r="A3032" t="s">
        <v>11088</v>
      </c>
      <c r="B3032" t="s">
        <v>11089</v>
      </c>
      <c r="D3032" t="s">
        <v>774</v>
      </c>
      <c r="F3032" t="s">
        <v>11090</v>
      </c>
      <c r="G3032" t="s">
        <v>11091</v>
      </c>
      <c r="H3032" t="str">
        <f>"01162546222"</f>
        <v>01162546222</v>
      </c>
    </row>
    <row r="3033" spans="1:8">
      <c r="A3033" t="s">
        <v>11092</v>
      </c>
      <c r="B3033" t="s">
        <v>11093</v>
      </c>
      <c r="D3033" t="s">
        <v>11094</v>
      </c>
      <c r="F3033" t="s">
        <v>11095</v>
      </c>
      <c r="G3033" t="s">
        <v>11096</v>
      </c>
      <c r="H3033" t="str">
        <f>"01229402239"</f>
        <v>01229402239</v>
      </c>
    </row>
    <row r="3034" spans="1:8">
      <c r="A3034" t="s">
        <v>11092</v>
      </c>
      <c r="B3034" t="s">
        <v>11097</v>
      </c>
      <c r="D3034" t="s">
        <v>5948</v>
      </c>
      <c r="F3034" t="s">
        <v>11098</v>
      </c>
      <c r="G3034" t="s">
        <v>11096</v>
      </c>
      <c r="H3034" t="str">
        <f>"012295 88111"</f>
        <v>012295 88111</v>
      </c>
    </row>
    <row r="3035" spans="1:8">
      <c r="A3035" t="s">
        <v>11092</v>
      </c>
      <c r="B3035" t="s">
        <v>11099</v>
      </c>
      <c r="D3035" t="s">
        <v>3698</v>
      </c>
      <c r="F3035" t="s">
        <v>11100</v>
      </c>
      <c r="G3035" t="s">
        <v>11096</v>
      </c>
      <c r="H3035" t="str">
        <f>"01539 734455"</f>
        <v>01539 734455</v>
      </c>
    </row>
    <row r="3036" spans="1:8">
      <c r="A3036" t="s">
        <v>11092</v>
      </c>
      <c r="B3036" t="s">
        <v>11101</v>
      </c>
      <c r="D3036" t="s">
        <v>3702</v>
      </c>
      <c r="F3036" t="s">
        <v>11102</v>
      </c>
      <c r="G3036" t="s">
        <v>11096</v>
      </c>
      <c r="H3036" t="str">
        <f>"01539 562044"</f>
        <v>01539 562044</v>
      </c>
    </row>
    <row r="3037" spans="1:8">
      <c r="A3037" t="s">
        <v>11103</v>
      </c>
      <c r="B3037" t="s">
        <v>11104</v>
      </c>
      <c r="C3037" t="s">
        <v>11105</v>
      </c>
      <c r="D3037" t="s">
        <v>11106</v>
      </c>
      <c r="E3037" t="s">
        <v>236</v>
      </c>
      <c r="F3037" t="s">
        <v>11107</v>
      </c>
      <c r="G3037" t="s">
        <v>11108</v>
      </c>
      <c r="H3037" t="str">
        <f>"01782444204"</f>
        <v>01782444204</v>
      </c>
    </row>
    <row r="3038" spans="1:8">
      <c r="A3038" t="s">
        <v>11109</v>
      </c>
      <c r="B3038" t="s">
        <v>11110</v>
      </c>
      <c r="C3038" t="s">
        <v>1054</v>
      </c>
      <c r="D3038" t="s">
        <v>1054</v>
      </c>
      <c r="F3038" t="s">
        <v>9654</v>
      </c>
      <c r="G3038" t="s">
        <v>11111</v>
      </c>
      <c r="H3038" t="str">
        <f>"01792 610228"</f>
        <v>01792 610228</v>
      </c>
    </row>
    <row r="3039" spans="1:8">
      <c r="A3039" t="s">
        <v>11112</v>
      </c>
      <c r="B3039" t="s">
        <v>11113</v>
      </c>
      <c r="C3039" t="s">
        <v>11114</v>
      </c>
      <c r="D3039" t="s">
        <v>440</v>
      </c>
      <c r="E3039" t="s">
        <v>315</v>
      </c>
      <c r="F3039" t="s">
        <v>11115</v>
      </c>
      <c r="G3039" t="s">
        <v>11116</v>
      </c>
      <c r="H3039" t="str">
        <f>"01244 354800"</f>
        <v>01244 354800</v>
      </c>
    </row>
    <row r="3040" spans="1:8">
      <c r="A3040" t="s">
        <v>11112</v>
      </c>
      <c r="B3040" t="s">
        <v>11117</v>
      </c>
      <c r="C3040" t="s">
        <v>11118</v>
      </c>
      <c r="D3040" t="s">
        <v>892</v>
      </c>
      <c r="E3040" t="s">
        <v>893</v>
      </c>
      <c r="F3040" t="s">
        <v>894</v>
      </c>
      <c r="G3040" t="s">
        <v>11116</v>
      </c>
      <c r="H3040" t="str">
        <f>"0151 321 0000"</f>
        <v>0151 321 0000</v>
      </c>
    </row>
    <row r="3041" spans="1:8">
      <c r="A3041" t="s">
        <v>11119</v>
      </c>
      <c r="B3041" t="s">
        <v>11120</v>
      </c>
      <c r="C3041" t="s">
        <v>8268</v>
      </c>
      <c r="D3041" t="s">
        <v>8269</v>
      </c>
      <c r="E3041" t="s">
        <v>464</v>
      </c>
      <c r="F3041" t="s">
        <v>11121</v>
      </c>
      <c r="G3041" t="s">
        <v>11122</v>
      </c>
      <c r="H3041" t="str">
        <f>"01761 417575"</f>
        <v>01761 417575</v>
      </c>
    </row>
    <row r="3042" spans="1:8">
      <c r="A3042" t="s">
        <v>11119</v>
      </c>
      <c r="B3042" t="s">
        <v>11123</v>
      </c>
      <c r="C3042" t="s">
        <v>6276</v>
      </c>
      <c r="D3042" t="s">
        <v>61</v>
      </c>
      <c r="E3042" t="s">
        <v>1956</v>
      </c>
      <c r="F3042" t="s">
        <v>11124</v>
      </c>
      <c r="G3042" t="s">
        <v>11125</v>
      </c>
      <c r="H3042" t="str">
        <f>"0117 9869141"</f>
        <v>0117 9869141</v>
      </c>
    </row>
    <row r="3043" spans="1:8">
      <c r="A3043" t="s">
        <v>11119</v>
      </c>
      <c r="B3043" t="s">
        <v>11126</v>
      </c>
      <c r="D3043" t="s">
        <v>8272</v>
      </c>
      <c r="F3043" t="s">
        <v>11127</v>
      </c>
      <c r="G3043" t="s">
        <v>11128</v>
      </c>
      <c r="H3043" t="str">
        <f>"01373 463311"</f>
        <v>01373 463311</v>
      </c>
    </row>
    <row r="3044" spans="1:8">
      <c r="A3044" t="s">
        <v>11129</v>
      </c>
      <c r="B3044" t="s">
        <v>11130</v>
      </c>
      <c r="D3044" t="s">
        <v>2592</v>
      </c>
      <c r="E3044" t="s">
        <v>893</v>
      </c>
      <c r="F3044" t="s">
        <v>11131</v>
      </c>
      <c r="G3044" t="s">
        <v>11132</v>
      </c>
      <c r="H3044" t="str">
        <f>"01516669090"</f>
        <v>01516669090</v>
      </c>
    </row>
    <row r="3045" spans="1:8">
      <c r="A3045" t="s">
        <v>11133</v>
      </c>
      <c r="B3045" t="s">
        <v>11134</v>
      </c>
      <c r="D3045" t="s">
        <v>481</v>
      </c>
      <c r="E3045" t="s">
        <v>200</v>
      </c>
      <c r="F3045" t="s">
        <v>11135</v>
      </c>
      <c r="G3045" t="s">
        <v>11136</v>
      </c>
      <c r="H3045" t="str">
        <f>"01483 485800"</f>
        <v>01483 485800</v>
      </c>
    </row>
    <row r="3046" spans="1:8">
      <c r="A3046" t="s">
        <v>11137</v>
      </c>
      <c r="B3046" t="s">
        <v>11138</v>
      </c>
      <c r="C3046" t="s">
        <v>11139</v>
      </c>
      <c r="D3046" t="s">
        <v>937</v>
      </c>
      <c r="E3046" t="s">
        <v>16</v>
      </c>
      <c r="F3046" t="s">
        <v>11140</v>
      </c>
      <c r="G3046" t="s">
        <v>11141</v>
      </c>
      <c r="H3046" t="str">
        <f>"0121 285 5101"</f>
        <v>0121 285 5101</v>
      </c>
    </row>
    <row r="3047" spans="1:8">
      <c r="A3047" t="s">
        <v>11142</v>
      </c>
      <c r="B3047" t="s">
        <v>11143</v>
      </c>
      <c r="C3047" t="s">
        <v>9549</v>
      </c>
      <c r="D3047" t="s">
        <v>4287</v>
      </c>
      <c r="E3047" t="s">
        <v>774</v>
      </c>
      <c r="F3047" t="s">
        <v>11144</v>
      </c>
      <c r="G3047" t="s">
        <v>11145</v>
      </c>
      <c r="H3047" t="str">
        <f>"0116 289 7000"</f>
        <v>0116 289 7000</v>
      </c>
    </row>
    <row r="3048" spans="1:8">
      <c r="A3048" t="s">
        <v>11142</v>
      </c>
      <c r="B3048" t="s">
        <v>11146</v>
      </c>
      <c r="C3048" t="s">
        <v>9549</v>
      </c>
      <c r="D3048" t="s">
        <v>774</v>
      </c>
      <c r="F3048" t="s">
        <v>11144</v>
      </c>
      <c r="G3048" t="s">
        <v>11145</v>
      </c>
      <c r="H3048" t="str">
        <f>"0116 289 7000"</f>
        <v>0116 289 7000</v>
      </c>
    </row>
    <row r="3049" spans="1:8">
      <c r="A3049" t="s">
        <v>11147</v>
      </c>
      <c r="B3049" t="s">
        <v>11148</v>
      </c>
      <c r="C3049" t="s">
        <v>11149</v>
      </c>
      <c r="D3049" t="s">
        <v>2772</v>
      </c>
      <c r="E3049" t="s">
        <v>132</v>
      </c>
      <c r="F3049" t="s">
        <v>11150</v>
      </c>
      <c r="G3049" t="s">
        <v>11151</v>
      </c>
      <c r="H3049" t="str">
        <f>"01254660000"</f>
        <v>01254660000</v>
      </c>
    </row>
    <row r="3050" spans="1:8">
      <c r="A3050" t="s">
        <v>11152</v>
      </c>
      <c r="B3050" t="s">
        <v>11153</v>
      </c>
      <c r="D3050" t="s">
        <v>57</v>
      </c>
      <c r="F3050" t="s">
        <v>11154</v>
      </c>
      <c r="G3050" t="s">
        <v>11155</v>
      </c>
      <c r="H3050" t="str">
        <f>"02039098399"</f>
        <v>02039098399</v>
      </c>
    </row>
    <row r="3051" spans="1:8">
      <c r="A3051" t="s">
        <v>11156</v>
      </c>
      <c r="B3051" t="s">
        <v>11157</v>
      </c>
      <c r="C3051" t="s">
        <v>11158</v>
      </c>
      <c r="D3051" t="s">
        <v>1024</v>
      </c>
      <c r="E3051" t="s">
        <v>227</v>
      </c>
      <c r="F3051" t="s">
        <v>11159</v>
      </c>
      <c r="G3051" t="s">
        <v>11160</v>
      </c>
      <c r="H3051" t="str">
        <f>"0808 169 5677"</f>
        <v>0808 169 5677</v>
      </c>
    </row>
    <row r="3052" spans="1:8">
      <c r="A3052" t="s">
        <v>11156</v>
      </c>
      <c r="B3052" t="s">
        <v>11161</v>
      </c>
      <c r="D3052" t="s">
        <v>213</v>
      </c>
      <c r="E3052" t="s">
        <v>227</v>
      </c>
      <c r="F3052" t="s">
        <v>11162</v>
      </c>
      <c r="G3052" t="s">
        <v>11160</v>
      </c>
      <c r="H3052" t="str">
        <f>"0808 169 5677"</f>
        <v>0808 169 5677</v>
      </c>
    </row>
    <row r="3053" spans="1:8">
      <c r="A3053" t="s">
        <v>11163</v>
      </c>
      <c r="B3053" t="s">
        <v>11164</v>
      </c>
      <c r="C3053" t="s">
        <v>11165</v>
      </c>
      <c r="D3053" t="s">
        <v>11166</v>
      </c>
      <c r="E3053" t="s">
        <v>1363</v>
      </c>
      <c r="F3053" t="s">
        <v>11167</v>
      </c>
      <c r="G3053" t="s">
        <v>11168</v>
      </c>
      <c r="H3053" t="str">
        <f>"01443 716242"</f>
        <v>01443 716242</v>
      </c>
    </row>
    <row r="3054" spans="1:8">
      <c r="A3054" t="s">
        <v>11169</v>
      </c>
      <c r="B3054" t="s">
        <v>11170</v>
      </c>
      <c r="C3054" t="s">
        <v>11171</v>
      </c>
      <c r="D3054" t="s">
        <v>1139</v>
      </c>
      <c r="E3054" t="s">
        <v>464</v>
      </c>
      <c r="F3054" t="s">
        <v>11172</v>
      </c>
      <c r="G3054" t="s">
        <v>11173</v>
      </c>
      <c r="H3054" t="str">
        <f>"01935846000"</f>
        <v>01935846000</v>
      </c>
    </row>
    <row r="3055" spans="1:8">
      <c r="A3055" t="s">
        <v>11169</v>
      </c>
      <c r="B3055" t="s">
        <v>11174</v>
      </c>
      <c r="C3055" t="s">
        <v>11175</v>
      </c>
      <c r="D3055" t="s">
        <v>4306</v>
      </c>
      <c r="E3055" t="s">
        <v>164</v>
      </c>
      <c r="F3055" t="s">
        <v>11176</v>
      </c>
      <c r="G3055" t="s">
        <v>11177</v>
      </c>
      <c r="H3055" t="str">
        <f>"01935 814811"</f>
        <v>01935 814811</v>
      </c>
    </row>
    <row r="3056" spans="1:8">
      <c r="A3056" t="s">
        <v>11169</v>
      </c>
      <c r="B3056" t="s">
        <v>11178</v>
      </c>
      <c r="C3056" t="s">
        <v>11179</v>
      </c>
      <c r="D3056" t="s">
        <v>4842</v>
      </c>
      <c r="E3056" t="s">
        <v>164</v>
      </c>
      <c r="F3056" t="s">
        <v>11180</v>
      </c>
      <c r="G3056" t="s">
        <v>11181</v>
      </c>
      <c r="H3056" t="str">
        <f>"01305 250560"</f>
        <v>01305 250560</v>
      </c>
    </row>
    <row r="3057" spans="1:8">
      <c r="A3057" t="s">
        <v>11169</v>
      </c>
      <c r="B3057" t="s">
        <v>11182</v>
      </c>
      <c r="D3057" t="s">
        <v>1622</v>
      </c>
      <c r="E3057" t="s">
        <v>164</v>
      </c>
      <c r="F3057" t="s">
        <v>11183</v>
      </c>
      <c r="G3057" t="s">
        <v>11184</v>
      </c>
      <c r="H3057" t="str">
        <f>"01929 768720"</f>
        <v>01929 768720</v>
      </c>
    </row>
    <row r="3058" spans="1:8">
      <c r="A3058" t="s">
        <v>11169</v>
      </c>
      <c r="B3058" t="s">
        <v>11185</v>
      </c>
      <c r="D3058" t="s">
        <v>11186</v>
      </c>
      <c r="E3058" t="s">
        <v>464</v>
      </c>
      <c r="F3058" t="s">
        <v>11187</v>
      </c>
      <c r="G3058" t="s">
        <v>11177</v>
      </c>
      <c r="H3058" t="str">
        <f>"01963 834477"</f>
        <v>01963 834477</v>
      </c>
    </row>
    <row r="3059" spans="1:8">
      <c r="A3059" t="s">
        <v>11169</v>
      </c>
      <c r="B3059" t="s">
        <v>11188</v>
      </c>
      <c r="D3059" t="s">
        <v>5784</v>
      </c>
      <c r="F3059" t="s">
        <v>11189</v>
      </c>
      <c r="G3059" t="s">
        <v>11190</v>
      </c>
      <c r="H3059" t="str">
        <f>"01308 801112"</f>
        <v>01308 801112</v>
      </c>
    </row>
    <row r="3060" spans="1:8">
      <c r="A3060" t="s">
        <v>11169</v>
      </c>
      <c r="B3060" t="s">
        <v>11191</v>
      </c>
      <c r="D3060" t="s">
        <v>141</v>
      </c>
      <c r="E3060" t="s">
        <v>464</v>
      </c>
      <c r="F3060" t="s">
        <v>11192</v>
      </c>
      <c r="G3060" t="s">
        <v>11173</v>
      </c>
      <c r="H3060" t="str">
        <f>"01225 562581"</f>
        <v>01225 562581</v>
      </c>
    </row>
    <row r="3061" spans="1:8">
      <c r="A3061" t="s">
        <v>11193</v>
      </c>
      <c r="B3061" t="s">
        <v>11194</v>
      </c>
      <c r="C3061" t="s">
        <v>11195</v>
      </c>
      <c r="D3061" t="s">
        <v>1553</v>
      </c>
      <c r="E3061" t="s">
        <v>164</v>
      </c>
      <c r="F3061" t="s">
        <v>11196</v>
      </c>
      <c r="G3061" t="s">
        <v>11197</v>
      </c>
      <c r="H3061" t="str">
        <f>"01202431943"</f>
        <v>01202431943</v>
      </c>
    </row>
    <row r="3062" spans="1:8">
      <c r="A3062" t="s">
        <v>11198</v>
      </c>
      <c r="B3062" t="s">
        <v>11199</v>
      </c>
      <c r="D3062" t="s">
        <v>420</v>
      </c>
      <c r="E3062" t="s">
        <v>132</v>
      </c>
      <c r="F3062" t="s">
        <v>11200</v>
      </c>
      <c r="G3062" t="s">
        <v>11201</v>
      </c>
      <c r="H3062" t="str">
        <f>"01772 555176"</f>
        <v>01772 555176</v>
      </c>
    </row>
    <row r="3063" spans="1:8">
      <c r="A3063" t="s">
        <v>11198</v>
      </c>
      <c r="B3063" t="s">
        <v>11202</v>
      </c>
      <c r="C3063" t="s">
        <v>6695</v>
      </c>
      <c r="D3063" t="s">
        <v>420</v>
      </c>
      <c r="E3063" t="s">
        <v>132</v>
      </c>
      <c r="F3063" t="s">
        <v>11203</v>
      </c>
      <c r="G3063" t="s">
        <v>11201</v>
      </c>
      <c r="H3063" t="str">
        <f>"01995 606442"</f>
        <v>01995 606442</v>
      </c>
    </row>
    <row r="3064" spans="1:8">
      <c r="A3064" t="s">
        <v>11198</v>
      </c>
      <c r="B3064" t="s">
        <v>11204</v>
      </c>
      <c r="C3064" t="s">
        <v>11205</v>
      </c>
      <c r="D3064" t="s">
        <v>420</v>
      </c>
      <c r="E3064" t="s">
        <v>132</v>
      </c>
      <c r="F3064" t="s">
        <v>11206</v>
      </c>
      <c r="G3064" t="s">
        <v>11201</v>
      </c>
      <c r="H3064" t="str">
        <f>"01772 751775"</f>
        <v>01772 751775</v>
      </c>
    </row>
    <row r="3065" spans="1:8">
      <c r="A3065" t="s">
        <v>11198</v>
      </c>
      <c r="B3065" t="s">
        <v>11207</v>
      </c>
      <c r="D3065" t="s">
        <v>6707</v>
      </c>
      <c r="E3065" t="s">
        <v>132</v>
      </c>
      <c r="F3065" t="s">
        <v>11208</v>
      </c>
      <c r="G3065" t="s">
        <v>11201</v>
      </c>
      <c r="H3065" t="str">
        <f>"01253 773377"</f>
        <v>01253 773377</v>
      </c>
    </row>
    <row r="3066" spans="1:8">
      <c r="A3066" t="s">
        <v>11198</v>
      </c>
      <c r="B3066" t="s">
        <v>11209</v>
      </c>
      <c r="C3066" t="s">
        <v>11210</v>
      </c>
      <c r="D3066" t="s">
        <v>7045</v>
      </c>
      <c r="E3066" t="s">
        <v>132</v>
      </c>
      <c r="F3066" t="s">
        <v>11211</v>
      </c>
      <c r="G3066" t="s">
        <v>11201</v>
      </c>
      <c r="H3066" t="str">
        <f>"01772 280330"</f>
        <v>01772 280330</v>
      </c>
    </row>
    <row r="3067" spans="1:8">
      <c r="A3067" t="s">
        <v>11198</v>
      </c>
      <c r="B3067" t="s">
        <v>11212</v>
      </c>
      <c r="D3067" t="s">
        <v>11213</v>
      </c>
      <c r="F3067" t="s">
        <v>11208</v>
      </c>
      <c r="G3067" t="s">
        <v>11201</v>
      </c>
      <c r="H3067" t="str">
        <f>"01253773377"</f>
        <v>01253773377</v>
      </c>
    </row>
    <row r="3068" spans="1:8">
      <c r="A3068" t="s">
        <v>11198</v>
      </c>
      <c r="B3068" t="s">
        <v>11214</v>
      </c>
      <c r="D3068" t="s">
        <v>11215</v>
      </c>
      <c r="F3068" t="s">
        <v>11216</v>
      </c>
      <c r="G3068" t="s">
        <v>11201</v>
      </c>
      <c r="H3068" t="str">
        <f>"01253 542005"</f>
        <v>01253 542005</v>
      </c>
    </row>
    <row r="3069" spans="1:8">
      <c r="A3069" t="s">
        <v>11217</v>
      </c>
      <c r="B3069" t="s">
        <v>11218</v>
      </c>
      <c r="D3069" t="s">
        <v>57</v>
      </c>
      <c r="E3069" t="s">
        <v>486</v>
      </c>
      <c r="F3069" t="s">
        <v>9701</v>
      </c>
      <c r="G3069" t="s">
        <v>11219</v>
      </c>
      <c r="H3069" t="str">
        <f>"0203 950 5262"</f>
        <v>0203 950 5262</v>
      </c>
    </row>
    <row r="3070" spans="1:8">
      <c r="A3070" t="s">
        <v>11220</v>
      </c>
      <c r="B3070" t="s">
        <v>11221</v>
      </c>
      <c r="D3070" t="s">
        <v>5146</v>
      </c>
      <c r="E3070" t="s">
        <v>736</v>
      </c>
      <c r="F3070" t="s">
        <v>11222</v>
      </c>
      <c r="G3070" t="s">
        <v>11223</v>
      </c>
      <c r="H3070" t="str">
        <f>"0203 5000642"</f>
        <v>0203 5000642</v>
      </c>
    </row>
    <row r="3071" spans="1:8">
      <c r="A3071" t="s">
        <v>11224</v>
      </c>
      <c r="B3071" t="s">
        <v>11225</v>
      </c>
      <c r="D3071" t="s">
        <v>4265</v>
      </c>
      <c r="E3071" t="s">
        <v>1033</v>
      </c>
      <c r="F3071" t="s">
        <v>11226</v>
      </c>
      <c r="G3071" t="s">
        <v>11227</v>
      </c>
      <c r="H3071" t="str">
        <f>"01457854645"</f>
        <v>01457854645</v>
      </c>
    </row>
    <row r="3072" spans="1:8">
      <c r="A3072" t="s">
        <v>11228</v>
      </c>
      <c r="B3072" t="s">
        <v>11229</v>
      </c>
      <c r="C3072" t="s">
        <v>11230</v>
      </c>
      <c r="D3072" t="s">
        <v>14</v>
      </c>
      <c r="F3072" t="s">
        <v>11231</v>
      </c>
      <c r="G3072" t="s">
        <v>11232</v>
      </c>
      <c r="H3072" t="str">
        <f>"0121 616 1661"</f>
        <v>0121 616 1661</v>
      </c>
    </row>
    <row r="3073" spans="1:8">
      <c r="A3073" t="s">
        <v>11233</v>
      </c>
      <c r="B3073" t="s">
        <v>11234</v>
      </c>
      <c r="C3073" t="s">
        <v>11235</v>
      </c>
      <c r="D3073" t="s">
        <v>1179</v>
      </c>
      <c r="E3073" t="s">
        <v>1180</v>
      </c>
      <c r="F3073" t="s">
        <v>11236</v>
      </c>
      <c r="G3073" t="s">
        <v>11237</v>
      </c>
      <c r="H3073" t="str">
        <f>"01604876697"</f>
        <v>01604876697</v>
      </c>
    </row>
    <row r="3074" spans="1:8">
      <c r="A3074" t="s">
        <v>11233</v>
      </c>
      <c r="B3074" t="s">
        <v>11238</v>
      </c>
      <c r="C3074" t="s">
        <v>11239</v>
      </c>
      <c r="D3074" t="s">
        <v>1194</v>
      </c>
      <c r="E3074" t="s">
        <v>1180</v>
      </c>
      <c r="F3074" t="s">
        <v>11240</v>
      </c>
      <c r="G3074" t="s">
        <v>11241</v>
      </c>
      <c r="H3074" t="str">
        <f>"01536 410014"</f>
        <v>01536 410014</v>
      </c>
    </row>
    <row r="3075" spans="1:8">
      <c r="A3075" t="s">
        <v>11233</v>
      </c>
      <c r="B3075" t="s">
        <v>11242</v>
      </c>
      <c r="D3075" t="s">
        <v>1202</v>
      </c>
      <c r="E3075" t="s">
        <v>1180</v>
      </c>
      <c r="F3075" t="s">
        <v>11243</v>
      </c>
      <c r="G3075" t="s">
        <v>11244</v>
      </c>
      <c r="H3075" t="str">
        <f>"01933 279000"</f>
        <v>01933 279000</v>
      </c>
    </row>
    <row r="3076" spans="1:8">
      <c r="A3076" t="s">
        <v>11233</v>
      </c>
      <c r="B3076" t="s">
        <v>11245</v>
      </c>
      <c r="D3076" t="s">
        <v>774</v>
      </c>
      <c r="E3076" t="s">
        <v>775</v>
      </c>
      <c r="F3076" t="s">
        <v>11246</v>
      </c>
      <c r="G3076" t="s">
        <v>11244</v>
      </c>
      <c r="H3076" t="str">
        <f>"0116 251 7181"</f>
        <v>0116 251 7181</v>
      </c>
    </row>
    <row r="3077" spans="1:8">
      <c r="A3077" t="s">
        <v>11233</v>
      </c>
      <c r="B3077" t="s">
        <v>11247</v>
      </c>
      <c r="C3077" t="s">
        <v>11248</v>
      </c>
      <c r="D3077" t="s">
        <v>11249</v>
      </c>
      <c r="E3077" t="s">
        <v>1180</v>
      </c>
      <c r="F3077" t="s">
        <v>11250</v>
      </c>
      <c r="G3077" t="s">
        <v>11244</v>
      </c>
      <c r="H3077" t="str">
        <f>"01933 410000"</f>
        <v>01933 410000</v>
      </c>
    </row>
    <row r="3078" spans="1:8">
      <c r="A3078" t="s">
        <v>11233</v>
      </c>
      <c r="B3078" t="s">
        <v>11251</v>
      </c>
      <c r="D3078" t="s">
        <v>5460</v>
      </c>
      <c r="E3078" t="s">
        <v>1180</v>
      </c>
      <c r="F3078" t="s">
        <v>11252</v>
      </c>
      <c r="G3078" t="s">
        <v>11253</v>
      </c>
      <c r="H3078" t="str">
        <f>"01536 218888"</f>
        <v>01536 218888</v>
      </c>
    </row>
    <row r="3079" spans="1:8">
      <c r="A3079" t="s">
        <v>11254</v>
      </c>
      <c r="B3079" t="s">
        <v>11255</v>
      </c>
      <c r="C3079" t="s">
        <v>1192</v>
      </c>
      <c r="D3079" t="s">
        <v>1190</v>
      </c>
      <c r="E3079" t="s">
        <v>397</v>
      </c>
      <c r="F3079" t="s">
        <v>11256</v>
      </c>
      <c r="G3079" t="s">
        <v>11257</v>
      </c>
      <c r="H3079" t="str">
        <f>"01234 270600 "</f>
        <v xml:space="preserve">01234 270600 </v>
      </c>
    </row>
    <row r="3080" spans="1:8">
      <c r="A3080" t="s">
        <v>11254</v>
      </c>
      <c r="B3080" t="s">
        <v>11258</v>
      </c>
      <c r="C3080" t="s">
        <v>1084</v>
      </c>
      <c r="D3080" t="s">
        <v>379</v>
      </c>
      <c r="E3080" t="s">
        <v>369</v>
      </c>
      <c r="F3080" t="s">
        <v>11259</v>
      </c>
      <c r="G3080" t="s">
        <v>11260</v>
      </c>
      <c r="H3080" t="str">
        <f>"0344 967 2505"</f>
        <v>0344 967 2505</v>
      </c>
    </row>
    <row r="3081" spans="1:8">
      <c r="A3081" t="s">
        <v>11254</v>
      </c>
      <c r="B3081" t="s">
        <v>11261</v>
      </c>
      <c r="D3081" t="s">
        <v>187</v>
      </c>
      <c r="F3081" t="s">
        <v>11262</v>
      </c>
      <c r="G3081" t="s">
        <v>11263</v>
      </c>
      <c r="H3081" t="str">
        <f>"0344 967 2505"</f>
        <v>0344 967 2505</v>
      </c>
    </row>
    <row r="3082" spans="1:8">
      <c r="A3082" t="s">
        <v>11264</v>
      </c>
      <c r="B3082" t="s">
        <v>11265</v>
      </c>
      <c r="D3082" t="s">
        <v>297</v>
      </c>
      <c r="F3082" t="s">
        <v>7777</v>
      </c>
      <c r="G3082" t="s">
        <v>11266</v>
      </c>
      <c r="H3082" t="str">
        <f>"01618324666"</f>
        <v>01618324666</v>
      </c>
    </row>
    <row r="3083" spans="1:8">
      <c r="A3083" t="s">
        <v>11264</v>
      </c>
      <c r="B3083" t="s">
        <v>11267</v>
      </c>
      <c r="C3083" t="s">
        <v>1525</v>
      </c>
      <c r="D3083" t="s">
        <v>892</v>
      </c>
      <c r="F3083" t="s">
        <v>1526</v>
      </c>
      <c r="G3083" t="s">
        <v>11268</v>
      </c>
      <c r="H3083" t="str">
        <f>"0151 231 6620"</f>
        <v>0151 231 6620</v>
      </c>
    </row>
    <row r="3084" spans="1:8">
      <c r="A3084" t="s">
        <v>11269</v>
      </c>
      <c r="B3084" t="s">
        <v>11270</v>
      </c>
      <c r="D3084" t="s">
        <v>5736</v>
      </c>
      <c r="E3084" t="s">
        <v>736</v>
      </c>
      <c r="F3084" t="s">
        <v>11271</v>
      </c>
      <c r="G3084" t="s">
        <v>11272</v>
      </c>
      <c r="H3084" t="str">
        <f>"01376554300 "</f>
        <v xml:space="preserve">01376554300 </v>
      </c>
    </row>
    <row r="3085" spans="1:8">
      <c r="A3085" t="s">
        <v>11269</v>
      </c>
      <c r="B3085" t="s">
        <v>11273</v>
      </c>
      <c r="D3085" t="s">
        <v>11274</v>
      </c>
      <c r="E3085" t="s">
        <v>4907</v>
      </c>
      <c r="F3085" t="s">
        <v>11275</v>
      </c>
      <c r="G3085" t="s">
        <v>11276</v>
      </c>
      <c r="H3085" t="str">
        <f>"01376 326868"</f>
        <v>01376 326868</v>
      </c>
    </row>
    <row r="3086" spans="1:8">
      <c r="A3086" t="s">
        <v>11269</v>
      </c>
      <c r="B3086" t="s">
        <v>11277</v>
      </c>
      <c r="D3086" t="s">
        <v>6896</v>
      </c>
      <c r="E3086" t="s">
        <v>520</v>
      </c>
      <c r="F3086" t="s">
        <v>11278</v>
      </c>
      <c r="G3086" t="s">
        <v>11279</v>
      </c>
      <c r="H3086" t="str">
        <f>"01273725229"</f>
        <v>01273725229</v>
      </c>
    </row>
    <row r="3087" spans="1:8">
      <c r="A3087" t="s">
        <v>11269</v>
      </c>
      <c r="B3087" t="s">
        <v>11280</v>
      </c>
      <c r="D3087" t="s">
        <v>11281</v>
      </c>
      <c r="E3087" t="s">
        <v>4907</v>
      </c>
      <c r="F3087" t="s">
        <v>11282</v>
      </c>
      <c r="G3087" t="s">
        <v>11283</v>
      </c>
      <c r="H3087" t="str">
        <f>"01245 264494"</f>
        <v>01245 264494</v>
      </c>
    </row>
    <row r="3088" spans="1:8">
      <c r="A3088" t="s">
        <v>11269</v>
      </c>
      <c r="B3088" t="s">
        <v>11284</v>
      </c>
      <c r="D3088" t="s">
        <v>11285</v>
      </c>
      <c r="E3088" t="s">
        <v>1728</v>
      </c>
      <c r="F3088" t="s">
        <v>11286</v>
      </c>
      <c r="G3088" t="s">
        <v>11287</v>
      </c>
      <c r="H3088" t="str">
        <f>"020 8688 8446"</f>
        <v>020 8688 8446</v>
      </c>
    </row>
    <row r="3089" spans="1:8">
      <c r="A3089" t="s">
        <v>11269</v>
      </c>
      <c r="B3089" t="s">
        <v>11288</v>
      </c>
      <c r="D3089" t="s">
        <v>5943</v>
      </c>
      <c r="E3089" t="s">
        <v>736</v>
      </c>
      <c r="F3089" t="s">
        <v>11289</v>
      </c>
      <c r="G3089" t="s">
        <v>11290</v>
      </c>
      <c r="H3089" t="str">
        <f>"01708 984 999"</f>
        <v>01708 984 999</v>
      </c>
    </row>
    <row r="3090" spans="1:8">
      <c r="A3090" t="s">
        <v>11269</v>
      </c>
      <c r="B3090" t="s">
        <v>11291</v>
      </c>
      <c r="D3090" t="s">
        <v>3677</v>
      </c>
      <c r="E3090" t="s">
        <v>4907</v>
      </c>
      <c r="F3090" t="s">
        <v>11292</v>
      </c>
      <c r="G3090" t="s">
        <v>11293</v>
      </c>
      <c r="H3090" t="str">
        <f>"01268 732268"</f>
        <v>01268 732268</v>
      </c>
    </row>
    <row r="3091" spans="1:8">
      <c r="A3091" t="s">
        <v>11269</v>
      </c>
      <c r="B3091" t="s">
        <v>11294</v>
      </c>
      <c r="C3091" t="s">
        <v>11295</v>
      </c>
      <c r="D3091" t="s">
        <v>4163</v>
      </c>
      <c r="F3091" t="s">
        <v>11296</v>
      </c>
      <c r="G3091" t="s">
        <v>11297</v>
      </c>
      <c r="H3091" t="str">
        <f>"01424 236601"</f>
        <v>01424 236601</v>
      </c>
    </row>
    <row r="3092" spans="1:8">
      <c r="A3092" t="s">
        <v>11298</v>
      </c>
      <c r="B3092" t="s">
        <v>11299</v>
      </c>
      <c r="D3092" t="s">
        <v>2928</v>
      </c>
      <c r="E3092" t="s">
        <v>703</v>
      </c>
      <c r="F3092" t="s">
        <v>11300</v>
      </c>
      <c r="G3092" t="s">
        <v>11301</v>
      </c>
      <c r="H3092" t="str">
        <f>"01722 426985"</f>
        <v>01722 426985</v>
      </c>
    </row>
    <row r="3093" spans="1:8">
      <c r="A3093" t="s">
        <v>11298</v>
      </c>
      <c r="B3093" t="s">
        <v>11302</v>
      </c>
      <c r="C3093" t="s">
        <v>859</v>
      </c>
      <c r="D3093" t="s">
        <v>124</v>
      </c>
      <c r="E3093" t="s">
        <v>121</v>
      </c>
      <c r="F3093" t="s">
        <v>860</v>
      </c>
      <c r="G3093" t="s">
        <v>11301</v>
      </c>
      <c r="H3093" t="str">
        <f>"02380321000"</f>
        <v>02380321000</v>
      </c>
    </row>
    <row r="3094" spans="1:8">
      <c r="A3094" t="s">
        <v>11298</v>
      </c>
      <c r="B3094" t="s">
        <v>11303</v>
      </c>
      <c r="D3094" t="s">
        <v>1638</v>
      </c>
      <c r="E3094" t="s">
        <v>164</v>
      </c>
      <c r="F3094" t="s">
        <v>11304</v>
      </c>
      <c r="G3094" t="s">
        <v>11301</v>
      </c>
      <c r="H3094" t="str">
        <f>"01202 673071"</f>
        <v>01202 673071</v>
      </c>
    </row>
    <row r="3095" spans="1:8">
      <c r="A3095" t="s">
        <v>11298</v>
      </c>
      <c r="B3095" t="s">
        <v>8549</v>
      </c>
      <c r="D3095" t="s">
        <v>1553</v>
      </c>
      <c r="E3095" t="s">
        <v>164</v>
      </c>
      <c r="F3095" t="s">
        <v>8550</v>
      </c>
      <c r="G3095" t="s">
        <v>11305</v>
      </c>
      <c r="H3095" t="str">
        <f>"01202 338585"</f>
        <v>01202 338585</v>
      </c>
    </row>
    <row r="3096" spans="1:8">
      <c r="A3096" t="s">
        <v>11298</v>
      </c>
      <c r="B3096" t="s">
        <v>11306</v>
      </c>
      <c r="C3096" t="s">
        <v>9258</v>
      </c>
      <c r="D3096" t="s">
        <v>868</v>
      </c>
      <c r="E3096" t="s">
        <v>121</v>
      </c>
      <c r="F3096" t="s">
        <v>11307</v>
      </c>
      <c r="G3096" t="s">
        <v>11305</v>
      </c>
      <c r="H3096" t="str">
        <f>"01962 670677"</f>
        <v>01962 670677</v>
      </c>
    </row>
    <row r="3097" spans="1:8">
      <c r="A3097" t="s">
        <v>11308</v>
      </c>
      <c r="B3097" t="s">
        <v>11309</v>
      </c>
      <c r="D3097" t="s">
        <v>1179</v>
      </c>
      <c r="E3097" t="s">
        <v>1180</v>
      </c>
      <c r="F3097" t="s">
        <v>11310</v>
      </c>
      <c r="G3097" t="s">
        <v>11311</v>
      </c>
      <c r="H3097" t="str">
        <f>"01604622101"</f>
        <v>01604622101</v>
      </c>
    </row>
    <row r="3098" spans="1:8">
      <c r="A3098" t="s">
        <v>11308</v>
      </c>
      <c r="B3098" t="s">
        <v>11312</v>
      </c>
      <c r="C3098" t="s">
        <v>11239</v>
      </c>
      <c r="D3098" t="s">
        <v>1194</v>
      </c>
      <c r="E3098" t="s">
        <v>1180</v>
      </c>
      <c r="F3098" t="s">
        <v>11313</v>
      </c>
      <c r="G3098" t="s">
        <v>11314</v>
      </c>
      <c r="H3098" t="str">
        <f>"01536523434"</f>
        <v>01536523434</v>
      </c>
    </row>
    <row r="3099" spans="1:8">
      <c r="A3099" t="s">
        <v>11315</v>
      </c>
      <c r="B3099" t="s">
        <v>11316</v>
      </c>
      <c r="D3099" t="s">
        <v>7753</v>
      </c>
      <c r="F3099" t="s">
        <v>11317</v>
      </c>
      <c r="G3099" t="s">
        <v>11318</v>
      </c>
      <c r="H3099" t="str">
        <f>"01904558600"</f>
        <v>01904558600</v>
      </c>
    </row>
    <row r="3100" spans="1:8">
      <c r="A3100" t="s">
        <v>11315</v>
      </c>
      <c r="B3100" t="s">
        <v>11320</v>
      </c>
      <c r="C3100" t="s">
        <v>11319</v>
      </c>
      <c r="D3100" t="s">
        <v>7753</v>
      </c>
      <c r="F3100" t="s">
        <v>11321</v>
      </c>
      <c r="G3100" t="s">
        <v>11318</v>
      </c>
      <c r="H3100" t="str">
        <f>"01904 558600"</f>
        <v>01904 558600</v>
      </c>
    </row>
    <row r="3101" spans="1:8">
      <c r="A3101" t="s">
        <v>11315</v>
      </c>
      <c r="B3101" t="s">
        <v>11322</v>
      </c>
      <c r="C3101" t="s">
        <v>11323</v>
      </c>
      <c r="D3101" t="s">
        <v>7753</v>
      </c>
      <c r="F3101" t="s">
        <v>11324</v>
      </c>
      <c r="G3101" t="s">
        <v>11318</v>
      </c>
      <c r="H3101" t="str">
        <f>"01904 558600"</f>
        <v>01904 558600</v>
      </c>
    </row>
    <row r="3102" spans="1:8">
      <c r="A3102" t="s">
        <v>11315</v>
      </c>
      <c r="B3102" t="s">
        <v>1208</v>
      </c>
      <c r="C3102" t="s">
        <v>11325</v>
      </c>
      <c r="D3102" t="s">
        <v>7753</v>
      </c>
      <c r="E3102" t="s">
        <v>616</v>
      </c>
      <c r="F3102" t="s">
        <v>11326</v>
      </c>
      <c r="G3102" t="s">
        <v>11318</v>
      </c>
      <c r="H3102" t="str">
        <f>"01347 821 234"</f>
        <v>01347 821 234</v>
      </c>
    </row>
    <row r="3103" spans="1:8">
      <c r="A3103" t="s">
        <v>11315</v>
      </c>
      <c r="B3103" t="s">
        <v>1208</v>
      </c>
      <c r="C3103" t="s">
        <v>11327</v>
      </c>
      <c r="D3103" t="s">
        <v>7753</v>
      </c>
      <c r="E3103" t="s">
        <v>814</v>
      </c>
      <c r="F3103" t="s">
        <v>11328</v>
      </c>
      <c r="G3103" t="s">
        <v>11318</v>
      </c>
      <c r="H3103" t="str">
        <f>"01759 302113"</f>
        <v>01759 302113</v>
      </c>
    </row>
    <row r="3104" spans="1:8">
      <c r="A3104" t="s">
        <v>11315</v>
      </c>
      <c r="B3104" t="s">
        <v>11329</v>
      </c>
      <c r="D3104" t="s">
        <v>3533</v>
      </c>
      <c r="E3104" t="s">
        <v>616</v>
      </c>
      <c r="F3104" t="s">
        <v>11330</v>
      </c>
      <c r="G3104" t="s">
        <v>11318</v>
      </c>
      <c r="H3104" t="str">
        <f>"01845 522278"</f>
        <v>01845 522278</v>
      </c>
    </row>
    <row r="3105" spans="1:8">
      <c r="A3105" t="s">
        <v>11331</v>
      </c>
      <c r="B3105" t="s">
        <v>11332</v>
      </c>
      <c r="C3105" t="s">
        <v>11333</v>
      </c>
      <c r="D3105" t="s">
        <v>1713</v>
      </c>
      <c r="E3105" t="s">
        <v>132</v>
      </c>
      <c r="F3105" t="s">
        <v>11334</v>
      </c>
      <c r="G3105" t="s">
        <v>11335</v>
      </c>
      <c r="H3105" t="str">
        <f>"01282718000"</f>
        <v>01282718000</v>
      </c>
    </row>
    <row r="3106" spans="1:8">
      <c r="A3106" t="s">
        <v>11331</v>
      </c>
      <c r="B3106" t="s">
        <v>11336</v>
      </c>
      <c r="D3106" t="s">
        <v>297</v>
      </c>
      <c r="F3106" t="s">
        <v>11337</v>
      </c>
      <c r="G3106" t="s">
        <v>11335</v>
      </c>
      <c r="H3106" t="str">
        <f>"0161 660 4254"</f>
        <v>0161 660 4254</v>
      </c>
    </row>
    <row r="3107" spans="1:8">
      <c r="A3107" t="s">
        <v>11331</v>
      </c>
      <c r="B3107" t="s">
        <v>11338</v>
      </c>
      <c r="D3107" t="s">
        <v>420</v>
      </c>
      <c r="E3107" t="s">
        <v>132</v>
      </c>
      <c r="F3107" t="s">
        <v>11200</v>
      </c>
      <c r="G3107" t="s">
        <v>11335</v>
      </c>
      <c r="H3107" t="str">
        <f>"01772 754450"</f>
        <v>01772 754450</v>
      </c>
    </row>
    <row r="3108" spans="1:8">
      <c r="A3108" t="s">
        <v>11331</v>
      </c>
      <c r="B3108" t="s">
        <v>11339</v>
      </c>
      <c r="D3108" t="s">
        <v>2782</v>
      </c>
      <c r="F3108" t="s">
        <v>11340</v>
      </c>
      <c r="G3108" t="s">
        <v>11335</v>
      </c>
      <c r="H3108" t="str">
        <f>"01706 222852"</f>
        <v>01706 222852</v>
      </c>
    </row>
    <row r="3109" spans="1:8">
      <c r="A3109" t="s">
        <v>11331</v>
      </c>
      <c r="B3109" t="s">
        <v>11341</v>
      </c>
      <c r="C3109" t="s">
        <v>11342</v>
      </c>
      <c r="D3109" t="s">
        <v>1313</v>
      </c>
      <c r="F3109" t="s">
        <v>11343</v>
      </c>
      <c r="G3109" t="s">
        <v>11335</v>
      </c>
      <c r="H3109" t="str">
        <f>"01942 246241"</f>
        <v>01942 246241</v>
      </c>
    </row>
    <row r="3110" spans="1:8">
      <c r="A3110" t="s">
        <v>11344</v>
      </c>
      <c r="B3110" t="s">
        <v>11345</v>
      </c>
      <c r="D3110" t="s">
        <v>8557</v>
      </c>
      <c r="E3110" t="s">
        <v>1033</v>
      </c>
      <c r="F3110" t="s">
        <v>11346</v>
      </c>
      <c r="G3110" t="s">
        <v>11347</v>
      </c>
      <c r="H3110" t="str">
        <f>"01332 600005"</f>
        <v>01332 600005</v>
      </c>
    </row>
    <row r="3111" spans="1:8">
      <c r="A3111" t="s">
        <v>11344</v>
      </c>
      <c r="B3111" t="s">
        <v>11348</v>
      </c>
      <c r="C3111" t="s">
        <v>11349</v>
      </c>
      <c r="D3111" t="s">
        <v>5134</v>
      </c>
      <c r="F3111" t="s">
        <v>11350</v>
      </c>
      <c r="G3111" t="s">
        <v>11347</v>
      </c>
      <c r="H3111" t="str">
        <f>"01332 755409"</f>
        <v>01332 755409</v>
      </c>
    </row>
    <row r="3112" spans="1:8">
      <c r="A3112" t="s">
        <v>11344</v>
      </c>
      <c r="B3112" t="s">
        <v>11351</v>
      </c>
      <c r="D3112" t="s">
        <v>902</v>
      </c>
      <c r="F3112" t="s">
        <v>11352</v>
      </c>
      <c r="G3112" t="s">
        <v>11347</v>
      </c>
      <c r="H3112" t="str">
        <f>"01509 272268"</f>
        <v>01509 272268</v>
      </c>
    </row>
    <row r="3113" spans="1:8">
      <c r="A3113" t="s">
        <v>11344</v>
      </c>
      <c r="B3113" t="s">
        <v>11353</v>
      </c>
      <c r="C3113" t="s">
        <v>1213</v>
      </c>
      <c r="D3113" t="s">
        <v>409</v>
      </c>
      <c r="F3113" t="s">
        <v>11354</v>
      </c>
      <c r="G3113" t="s">
        <v>11347</v>
      </c>
      <c r="H3113" t="str">
        <f>"0115 878 900"</f>
        <v>0115 878 900</v>
      </c>
    </row>
    <row r="3114" spans="1:8">
      <c r="A3114" t="s">
        <v>11344</v>
      </c>
      <c r="B3114" t="s">
        <v>11355</v>
      </c>
      <c r="C3114" t="s">
        <v>9662</v>
      </c>
      <c r="D3114" t="s">
        <v>409</v>
      </c>
      <c r="F3114" t="s">
        <v>11356</v>
      </c>
      <c r="G3114" t="s">
        <v>11347</v>
      </c>
      <c r="H3114" t="str">
        <f>"01773 787878"</f>
        <v>01773 787878</v>
      </c>
    </row>
    <row r="3115" spans="1:8">
      <c r="A3115" t="s">
        <v>11357</v>
      </c>
      <c r="B3115" t="s">
        <v>11358</v>
      </c>
      <c r="C3115" t="s">
        <v>11359</v>
      </c>
      <c r="D3115" t="s">
        <v>1111</v>
      </c>
      <c r="F3115" t="s">
        <v>11360</v>
      </c>
      <c r="G3115" t="s">
        <v>11361</v>
      </c>
      <c r="H3115" t="str">
        <f>"01902578000"</f>
        <v>01902578000</v>
      </c>
    </row>
    <row r="3116" spans="1:8">
      <c r="A3116" t="s">
        <v>11357</v>
      </c>
      <c r="B3116" t="s">
        <v>11362</v>
      </c>
      <c r="C3116" t="s">
        <v>1224</v>
      </c>
      <c r="D3116" t="s">
        <v>1103</v>
      </c>
      <c r="F3116" t="s">
        <v>1225</v>
      </c>
      <c r="G3116" t="s">
        <v>11361</v>
      </c>
      <c r="H3116" t="str">
        <f>"01743 241551"</f>
        <v>01743 241551</v>
      </c>
    </row>
    <row r="3117" spans="1:8">
      <c r="A3117" t="s">
        <v>11357</v>
      </c>
      <c r="B3117" t="s">
        <v>11363</v>
      </c>
      <c r="C3117" t="s">
        <v>7278</v>
      </c>
      <c r="D3117" t="s">
        <v>104</v>
      </c>
      <c r="F3117" t="s">
        <v>7279</v>
      </c>
      <c r="G3117" t="s">
        <v>11361</v>
      </c>
      <c r="H3117" t="str">
        <f>"01952 292129"</f>
        <v>01952 292129</v>
      </c>
    </row>
    <row r="3118" spans="1:8">
      <c r="A3118" t="s">
        <v>11357</v>
      </c>
      <c r="B3118" t="s">
        <v>6644</v>
      </c>
      <c r="D3118" t="s">
        <v>1229</v>
      </c>
      <c r="F3118" t="s">
        <v>1232</v>
      </c>
      <c r="G3118" t="s">
        <v>11361</v>
      </c>
      <c r="H3118" t="str">
        <f>"01694 724440"</f>
        <v>01694 724440</v>
      </c>
    </row>
    <row r="3119" spans="1:8">
      <c r="A3119" t="s">
        <v>11357</v>
      </c>
      <c r="B3119" t="s">
        <v>2579</v>
      </c>
      <c r="D3119" t="s">
        <v>4978</v>
      </c>
      <c r="F3119" t="s">
        <v>11364</v>
      </c>
      <c r="G3119" t="s">
        <v>11361</v>
      </c>
      <c r="H3119" t="str">
        <f>"01527 584444"</f>
        <v>01527 584444</v>
      </c>
    </row>
    <row r="3120" spans="1:8">
      <c r="A3120" t="s">
        <v>11357</v>
      </c>
      <c r="B3120" t="s">
        <v>11366</v>
      </c>
      <c r="D3120" t="s">
        <v>11365</v>
      </c>
      <c r="F3120" t="s">
        <v>11367</v>
      </c>
      <c r="G3120" t="s">
        <v>11368</v>
      </c>
      <c r="H3120" t="str">
        <f>"0121 559 2922"</f>
        <v>0121 559 2922</v>
      </c>
    </row>
    <row r="3121" spans="1:8">
      <c r="A3121" t="s">
        <v>11357</v>
      </c>
      <c r="B3121" t="s">
        <v>11369</v>
      </c>
      <c r="D3121" t="s">
        <v>7234</v>
      </c>
      <c r="F3121" t="s">
        <v>11370</v>
      </c>
      <c r="G3121" t="s">
        <v>11368</v>
      </c>
      <c r="H3121" t="str">
        <f>"0121 585 3900"</f>
        <v>0121 585 3900</v>
      </c>
    </row>
    <row r="3122" spans="1:8">
      <c r="A3122" t="s">
        <v>11371</v>
      </c>
      <c r="B3122" t="s">
        <v>11372</v>
      </c>
      <c r="D3122" t="s">
        <v>1874</v>
      </c>
      <c r="F3122" t="s">
        <v>11373</v>
      </c>
      <c r="G3122" t="s">
        <v>11374</v>
      </c>
      <c r="H3122" t="str">
        <f>"01753208786"</f>
        <v>01753208786</v>
      </c>
    </row>
    <row r="3123" spans="1:8">
      <c r="A3123" t="s">
        <v>11375</v>
      </c>
      <c r="B3123" t="s">
        <v>11376</v>
      </c>
      <c r="D3123" t="s">
        <v>892</v>
      </c>
      <c r="F3123" t="s">
        <v>11377</v>
      </c>
      <c r="G3123" t="s">
        <v>11378</v>
      </c>
      <c r="H3123" t="str">
        <f>"0151 2944722"</f>
        <v>0151 2944722</v>
      </c>
    </row>
    <row r="3124" spans="1:8">
      <c r="A3124" t="s">
        <v>11379</v>
      </c>
      <c r="B3124" t="s">
        <v>11380</v>
      </c>
      <c r="C3124" t="s">
        <v>10631</v>
      </c>
      <c r="D3124" t="s">
        <v>409</v>
      </c>
      <c r="E3124" t="s">
        <v>410</v>
      </c>
      <c r="F3124" t="s">
        <v>11381</v>
      </c>
      <c r="G3124" t="s">
        <v>11382</v>
      </c>
      <c r="H3124" t="str">
        <f>"01949 485500"</f>
        <v>01949 485500</v>
      </c>
    </row>
    <row r="3125" spans="1:8">
      <c r="A3125" t="s">
        <v>11383</v>
      </c>
      <c r="B3125" t="s">
        <v>11384</v>
      </c>
      <c r="C3125" t="s">
        <v>11385</v>
      </c>
      <c r="D3125" t="s">
        <v>400</v>
      </c>
      <c r="E3125" t="s">
        <v>184</v>
      </c>
      <c r="F3125" t="s">
        <v>11386</v>
      </c>
      <c r="G3125" t="s">
        <v>11387</v>
      </c>
      <c r="H3125" t="str">
        <f>"01582767686"</f>
        <v>01582767686</v>
      </c>
    </row>
    <row r="3126" spans="1:8">
      <c r="A3126" t="s">
        <v>11388</v>
      </c>
      <c r="B3126" t="s">
        <v>11389</v>
      </c>
      <c r="D3126" t="s">
        <v>4542</v>
      </c>
      <c r="E3126" t="s">
        <v>16</v>
      </c>
      <c r="F3126" t="s">
        <v>11390</v>
      </c>
      <c r="G3126" t="s">
        <v>11391</v>
      </c>
      <c r="H3126" t="str">
        <f>"01216869444"</f>
        <v>01216869444</v>
      </c>
    </row>
    <row r="3127" spans="1:8">
      <c r="A3127" t="s">
        <v>11388</v>
      </c>
      <c r="B3127" t="s">
        <v>2402</v>
      </c>
      <c r="D3127" t="s">
        <v>4542</v>
      </c>
      <c r="E3127" t="s">
        <v>16</v>
      </c>
      <c r="F3127" t="s">
        <v>11392</v>
      </c>
      <c r="G3127" t="s">
        <v>11391</v>
      </c>
      <c r="H3127" t="str">
        <f>"01216869444"</f>
        <v>01216869444</v>
      </c>
    </row>
    <row r="3128" spans="1:8">
      <c r="A3128" t="s">
        <v>11388</v>
      </c>
      <c r="B3128" t="s">
        <v>11393</v>
      </c>
      <c r="D3128" t="s">
        <v>3959</v>
      </c>
      <c r="E3128" t="s">
        <v>11394</v>
      </c>
      <c r="F3128" t="s">
        <v>3960</v>
      </c>
      <c r="G3128" t="s">
        <v>11395</v>
      </c>
      <c r="H3128" t="str">
        <f>"01543 386982"</f>
        <v>01543 386982</v>
      </c>
    </row>
    <row r="3129" spans="1:8">
      <c r="A3129" t="s">
        <v>11396</v>
      </c>
      <c r="B3129" t="s">
        <v>11397</v>
      </c>
      <c r="C3129" t="s">
        <v>5594</v>
      </c>
      <c r="D3129" t="s">
        <v>187</v>
      </c>
      <c r="E3129" t="s">
        <v>990</v>
      </c>
      <c r="F3129" t="s">
        <v>5595</v>
      </c>
      <c r="G3129" t="s">
        <v>11398</v>
      </c>
      <c r="H3129" t="str">
        <f>"01908 039666"</f>
        <v>01908 039666</v>
      </c>
    </row>
    <row r="3130" spans="1:8">
      <c r="A3130" t="s">
        <v>11399</v>
      </c>
      <c r="B3130" t="s">
        <v>11400</v>
      </c>
      <c r="C3130" t="s">
        <v>11401</v>
      </c>
      <c r="D3130" t="s">
        <v>7852</v>
      </c>
      <c r="E3130" t="s">
        <v>106</v>
      </c>
      <c r="F3130" t="s">
        <v>9131</v>
      </c>
      <c r="G3130" t="s">
        <v>11402</v>
      </c>
      <c r="H3130" t="str">
        <f>"01691 655 060"</f>
        <v>01691 655 060</v>
      </c>
    </row>
    <row r="3131" spans="1:8">
      <c r="A3131" t="s">
        <v>11403</v>
      </c>
      <c r="B3131" t="s">
        <v>11404</v>
      </c>
      <c r="D3131" t="s">
        <v>141</v>
      </c>
      <c r="E3131" t="s">
        <v>464</v>
      </c>
      <c r="F3131" t="s">
        <v>11405</v>
      </c>
      <c r="G3131" t="s">
        <v>11406</v>
      </c>
      <c r="H3131" t="str">
        <f>"01225 730100"</f>
        <v>01225 730100</v>
      </c>
    </row>
    <row r="3132" spans="1:8">
      <c r="A3132" t="s">
        <v>11403</v>
      </c>
      <c r="B3132" t="s">
        <v>11407</v>
      </c>
      <c r="D3132" t="s">
        <v>6434</v>
      </c>
      <c r="E3132" t="s">
        <v>760</v>
      </c>
      <c r="F3132" t="s">
        <v>11408</v>
      </c>
      <c r="G3132" t="s">
        <v>11406</v>
      </c>
      <c r="H3132" t="str">
        <f>"01865 792300"</f>
        <v>01865 792300</v>
      </c>
    </row>
    <row r="3133" spans="1:8">
      <c r="A3133" t="s">
        <v>11403</v>
      </c>
      <c r="B3133" t="s">
        <v>11409</v>
      </c>
      <c r="D3133" t="s">
        <v>383</v>
      </c>
      <c r="E3133" t="s">
        <v>703</v>
      </c>
      <c r="F3133" t="s">
        <v>11410</v>
      </c>
      <c r="G3133" t="s">
        <v>11406</v>
      </c>
      <c r="H3133" t="str">
        <f>"01793 847777"</f>
        <v>01793 847777</v>
      </c>
    </row>
    <row r="3134" spans="1:8">
      <c r="A3134" t="s">
        <v>11403</v>
      </c>
      <c r="B3134" t="s">
        <v>8220</v>
      </c>
      <c r="D3134" t="s">
        <v>57</v>
      </c>
      <c r="F3134" t="s">
        <v>1452</v>
      </c>
      <c r="G3134" t="s">
        <v>11406</v>
      </c>
      <c r="H3134" t="str">
        <f>"020 2583 2222"</f>
        <v>020 2583 2222</v>
      </c>
    </row>
    <row r="3135" spans="1:8">
      <c r="A3135" t="s">
        <v>11403</v>
      </c>
      <c r="B3135" t="s">
        <v>11411</v>
      </c>
      <c r="C3135" t="s">
        <v>11412</v>
      </c>
      <c r="D3135" t="s">
        <v>61</v>
      </c>
      <c r="F3135" t="s">
        <v>11413</v>
      </c>
      <c r="G3135" t="s">
        <v>11406</v>
      </c>
      <c r="H3135" t="str">
        <f>"01174 540 540"</f>
        <v>01174 540 540</v>
      </c>
    </row>
    <row r="3136" spans="1:8">
      <c r="A3136" t="s">
        <v>11414</v>
      </c>
      <c r="B3136" t="s">
        <v>11415</v>
      </c>
      <c r="C3136" t="s">
        <v>11416</v>
      </c>
      <c r="D3136" t="s">
        <v>3959</v>
      </c>
      <c r="E3136" t="s">
        <v>236</v>
      </c>
      <c r="F3136" t="s">
        <v>11417</v>
      </c>
      <c r="G3136" t="s">
        <v>11418</v>
      </c>
      <c r="H3136" t="str">
        <f>"01543 431923"</f>
        <v>01543 431923</v>
      </c>
    </row>
    <row r="3137" spans="1:8">
      <c r="A3137" t="s">
        <v>11414</v>
      </c>
      <c r="B3137" t="s">
        <v>11419</v>
      </c>
      <c r="C3137" t="s">
        <v>11420</v>
      </c>
      <c r="D3137" t="s">
        <v>4630</v>
      </c>
      <c r="E3137" t="s">
        <v>236</v>
      </c>
      <c r="F3137" t="s">
        <v>11421</v>
      </c>
      <c r="G3137" t="s">
        <v>11418</v>
      </c>
      <c r="H3137" t="str">
        <f>"01543 431180"</f>
        <v>01543 431180</v>
      </c>
    </row>
    <row r="3138" spans="1:8">
      <c r="A3138" t="s">
        <v>11414</v>
      </c>
      <c r="B3138" t="s">
        <v>11422</v>
      </c>
      <c r="D3138" t="s">
        <v>4542</v>
      </c>
      <c r="E3138" t="s">
        <v>16</v>
      </c>
      <c r="F3138" t="s">
        <v>11423</v>
      </c>
      <c r="G3138" t="s">
        <v>11418</v>
      </c>
      <c r="H3138" t="str">
        <f>"01217163716"</f>
        <v>01217163716</v>
      </c>
    </row>
    <row r="3139" spans="1:8">
      <c r="A3139" t="s">
        <v>11414</v>
      </c>
      <c r="B3139" t="s">
        <v>11424</v>
      </c>
      <c r="C3139" t="s">
        <v>11425</v>
      </c>
      <c r="D3139" t="s">
        <v>6219</v>
      </c>
      <c r="F3139" t="s">
        <v>11426</v>
      </c>
      <c r="G3139" t="s">
        <v>11427</v>
      </c>
      <c r="H3139" t="str">
        <f>"0121 550 0010"</f>
        <v>0121 550 0010</v>
      </c>
    </row>
    <row r="3140" spans="1:8">
      <c r="A3140" t="s">
        <v>11428</v>
      </c>
      <c r="B3140" t="s">
        <v>11429</v>
      </c>
      <c r="D3140" t="s">
        <v>892</v>
      </c>
      <c r="E3140" t="s">
        <v>893</v>
      </c>
      <c r="F3140" t="s">
        <v>11430</v>
      </c>
      <c r="G3140" t="s">
        <v>11431</v>
      </c>
      <c r="H3140" t="str">
        <f>"0151 318 7500"</f>
        <v>0151 318 7500</v>
      </c>
    </row>
    <row r="3141" spans="1:8">
      <c r="A3141" t="s">
        <v>11428</v>
      </c>
      <c r="B3141" t="s">
        <v>11432</v>
      </c>
      <c r="C3141" t="s">
        <v>2816</v>
      </c>
      <c r="D3141" t="s">
        <v>893</v>
      </c>
      <c r="F3141" t="s">
        <v>11433</v>
      </c>
      <c r="G3141" t="s">
        <v>11434</v>
      </c>
      <c r="H3141" t="str">
        <f>"01704 61710"</f>
        <v>01704 61710</v>
      </c>
    </row>
    <row r="3142" spans="1:8">
      <c r="A3142" t="s">
        <v>11428</v>
      </c>
      <c r="B3142" t="s">
        <v>11436</v>
      </c>
      <c r="C3142" t="s">
        <v>11435</v>
      </c>
      <c r="D3142" t="s">
        <v>892</v>
      </c>
      <c r="F3142" t="s">
        <v>11437</v>
      </c>
      <c r="G3142" t="s">
        <v>11434</v>
      </c>
      <c r="H3142" t="str">
        <f>"01704 617 101"</f>
        <v>01704 617 101</v>
      </c>
    </row>
    <row r="3143" spans="1:8">
      <c r="A3143" t="s">
        <v>11438</v>
      </c>
      <c r="B3143" t="s">
        <v>11439</v>
      </c>
      <c r="D3143" t="s">
        <v>1190</v>
      </c>
      <c r="E3143" t="s">
        <v>397</v>
      </c>
      <c r="F3143" t="s">
        <v>11440</v>
      </c>
      <c r="G3143" t="s">
        <v>11441</v>
      </c>
      <c r="H3143" t="str">
        <f>"01234303030"</f>
        <v>01234303030</v>
      </c>
    </row>
    <row r="3144" spans="1:8">
      <c r="A3144" t="s">
        <v>11438</v>
      </c>
      <c r="B3144" t="s">
        <v>11443</v>
      </c>
      <c r="D3144" t="s">
        <v>11442</v>
      </c>
      <c r="E3144" t="s">
        <v>397</v>
      </c>
      <c r="F3144" t="s">
        <v>11444</v>
      </c>
      <c r="G3144" t="s">
        <v>11441</v>
      </c>
      <c r="H3144" t="str">
        <f>"01525 750750"</f>
        <v>01525 750750</v>
      </c>
    </row>
    <row r="3145" spans="1:8">
      <c r="A3145" t="s">
        <v>11445</v>
      </c>
      <c r="B3145" t="s">
        <v>11446</v>
      </c>
      <c r="C3145" t="s">
        <v>11447</v>
      </c>
      <c r="D3145" t="s">
        <v>774</v>
      </c>
      <c r="E3145" t="s">
        <v>775</v>
      </c>
      <c r="F3145" t="s">
        <v>11448</v>
      </c>
      <c r="G3145" t="s">
        <v>11449</v>
      </c>
      <c r="H3145" t="str">
        <f>"0116 266 5394"</f>
        <v>0116 266 5394</v>
      </c>
    </row>
    <row r="3146" spans="1:8">
      <c r="A3146" t="s">
        <v>11450</v>
      </c>
      <c r="B3146" t="s">
        <v>11451</v>
      </c>
      <c r="C3146" t="s">
        <v>11452</v>
      </c>
      <c r="D3146" t="s">
        <v>11453</v>
      </c>
      <c r="E3146" t="s">
        <v>2178</v>
      </c>
      <c r="F3146" t="s">
        <v>11454</v>
      </c>
      <c r="G3146" t="s">
        <v>11455</v>
      </c>
      <c r="H3146" t="str">
        <f>"0345 415 0000"</f>
        <v>0345 415 0000</v>
      </c>
    </row>
    <row r="3147" spans="1:8">
      <c r="A3147" t="s">
        <v>11450</v>
      </c>
      <c r="B3147" t="s">
        <v>11456</v>
      </c>
      <c r="C3147" t="s">
        <v>9727</v>
      </c>
      <c r="D3147" t="s">
        <v>61</v>
      </c>
      <c r="E3147" t="s">
        <v>1956</v>
      </c>
      <c r="F3147" t="s">
        <v>8088</v>
      </c>
      <c r="G3147" t="s">
        <v>11455</v>
      </c>
      <c r="H3147" t="str">
        <f>"0345 415 0000"</f>
        <v>0345 415 0000</v>
      </c>
    </row>
    <row r="3148" spans="1:8">
      <c r="A3148" t="s">
        <v>11450</v>
      </c>
      <c r="B3148" t="s">
        <v>11457</v>
      </c>
      <c r="C3148" t="s">
        <v>11458</v>
      </c>
      <c r="D3148" t="s">
        <v>552</v>
      </c>
      <c r="E3148" t="s">
        <v>309</v>
      </c>
      <c r="F3148" t="s">
        <v>11459</v>
      </c>
      <c r="G3148" t="s">
        <v>11455</v>
      </c>
      <c r="H3148" t="str">
        <f>"0345 415 0000"</f>
        <v>0345 415 0000</v>
      </c>
    </row>
    <row r="3149" spans="1:8">
      <c r="A3149" t="s">
        <v>11450</v>
      </c>
      <c r="B3149" t="s">
        <v>11460</v>
      </c>
      <c r="C3149" t="s">
        <v>11461</v>
      </c>
      <c r="D3149" t="s">
        <v>124</v>
      </c>
      <c r="E3149" t="s">
        <v>121</v>
      </c>
      <c r="F3149" t="s">
        <v>11462</v>
      </c>
      <c r="G3149" t="s">
        <v>11455</v>
      </c>
      <c r="H3149" t="str">
        <f>"0345 415 0000"</f>
        <v>0345 415 0000</v>
      </c>
    </row>
    <row r="3150" spans="1:8">
      <c r="A3150" t="s">
        <v>11450</v>
      </c>
      <c r="B3150" t="s">
        <v>3376</v>
      </c>
      <c r="D3150" t="s">
        <v>355</v>
      </c>
      <c r="E3150" t="s">
        <v>616</v>
      </c>
      <c r="F3150" t="s">
        <v>3377</v>
      </c>
      <c r="G3150" t="s">
        <v>11455</v>
      </c>
      <c r="H3150" t="str">
        <f>"0345 415 0000"</f>
        <v>0345 415 0000</v>
      </c>
    </row>
    <row r="3151" spans="1:8">
      <c r="A3151" t="s">
        <v>11463</v>
      </c>
      <c r="B3151" t="s">
        <v>11464</v>
      </c>
      <c r="C3151" t="s">
        <v>1500</v>
      </c>
      <c r="D3151" t="s">
        <v>2112</v>
      </c>
      <c r="F3151" t="s">
        <v>11465</v>
      </c>
      <c r="G3151" t="s">
        <v>11466</v>
      </c>
      <c r="H3151" t="str">
        <f>"0161 8505600"</f>
        <v>0161 8505600</v>
      </c>
    </row>
    <row r="3152" spans="1:8">
      <c r="A3152" t="s">
        <v>11463</v>
      </c>
      <c r="B3152" t="s">
        <v>11467</v>
      </c>
      <c r="D3152" t="s">
        <v>6831</v>
      </c>
      <c r="F3152" t="s">
        <v>6832</v>
      </c>
      <c r="G3152" t="s">
        <v>11466</v>
      </c>
      <c r="H3152" t="str">
        <f>"01606 654629"</f>
        <v>01606 654629</v>
      </c>
    </row>
    <row r="3153" spans="1:8">
      <c r="A3153" t="s">
        <v>11468</v>
      </c>
      <c r="B3153" t="s">
        <v>11469</v>
      </c>
      <c r="D3153" t="s">
        <v>3304</v>
      </c>
      <c r="F3153" t="s">
        <v>11470</v>
      </c>
      <c r="G3153" t="s">
        <v>11471</v>
      </c>
      <c r="H3153" t="str">
        <f>"01625 429511"</f>
        <v>01625 429511</v>
      </c>
    </row>
    <row r="3154" spans="1:8">
      <c r="A3154" t="s">
        <v>11468</v>
      </c>
      <c r="B3154" t="s">
        <v>11472</v>
      </c>
      <c r="D3154" t="s">
        <v>646</v>
      </c>
      <c r="F3154" t="s">
        <v>11473</v>
      </c>
      <c r="G3154" t="s">
        <v>11474</v>
      </c>
      <c r="H3154" t="str">
        <f>"01260 279414"</f>
        <v>01260 279414</v>
      </c>
    </row>
    <row r="3155" spans="1:8">
      <c r="A3155" t="s">
        <v>11475</v>
      </c>
      <c r="B3155" t="s">
        <v>11476</v>
      </c>
      <c r="C3155" t="s">
        <v>11477</v>
      </c>
      <c r="D3155" t="s">
        <v>2360</v>
      </c>
      <c r="F3155" t="s">
        <v>11478</v>
      </c>
      <c r="G3155" t="s">
        <v>11479</v>
      </c>
      <c r="H3155" t="str">
        <f>"02083634444"</f>
        <v>02083634444</v>
      </c>
    </row>
    <row r="3156" spans="1:8">
      <c r="A3156" t="s">
        <v>11475</v>
      </c>
      <c r="B3156" t="s">
        <v>11480</v>
      </c>
      <c r="C3156" t="s">
        <v>7903</v>
      </c>
      <c r="D3156" t="s">
        <v>5282</v>
      </c>
      <c r="E3156" t="s">
        <v>184</v>
      </c>
      <c r="F3156" t="s">
        <v>11481</v>
      </c>
      <c r="G3156" t="s">
        <v>11482</v>
      </c>
      <c r="H3156" t="str">
        <f>"01992 463 772"</f>
        <v>01992 463 772</v>
      </c>
    </row>
    <row r="3157" spans="1:8">
      <c r="A3157" t="s">
        <v>11475</v>
      </c>
      <c r="B3157" t="s">
        <v>11483</v>
      </c>
      <c r="D3157" t="s">
        <v>5839</v>
      </c>
      <c r="E3157" t="s">
        <v>184</v>
      </c>
      <c r="F3157" t="s">
        <v>11484</v>
      </c>
      <c r="G3157" t="s">
        <v>11485</v>
      </c>
      <c r="H3157" t="str">
        <f>"01763 241 261"</f>
        <v>01763 241 261</v>
      </c>
    </row>
    <row r="3158" spans="1:8">
      <c r="A3158" t="s">
        <v>11475</v>
      </c>
      <c r="B3158" t="s">
        <v>11486</v>
      </c>
      <c r="D3158" t="s">
        <v>57</v>
      </c>
      <c r="F3158" t="s">
        <v>11487</v>
      </c>
      <c r="G3158" t="s">
        <v>11488</v>
      </c>
      <c r="H3158" t="str">
        <f>"0208 363 4444"</f>
        <v>0208 363 4444</v>
      </c>
    </row>
    <row r="3159" spans="1:8">
      <c r="A3159" t="s">
        <v>11489</v>
      </c>
      <c r="B3159" t="s">
        <v>11490</v>
      </c>
      <c r="D3159" t="s">
        <v>747</v>
      </c>
      <c r="E3159" t="s">
        <v>153</v>
      </c>
      <c r="F3159" t="s">
        <v>11491</v>
      </c>
      <c r="G3159" t="s">
        <v>11492</v>
      </c>
      <c r="H3159" t="str">
        <f>"01628 777233"</f>
        <v>01628 777233</v>
      </c>
    </row>
    <row r="3160" spans="1:8">
      <c r="A3160" t="s">
        <v>11493</v>
      </c>
      <c r="B3160" t="s">
        <v>11494</v>
      </c>
      <c r="C3160" t="s">
        <v>11495</v>
      </c>
      <c r="D3160" t="s">
        <v>1117</v>
      </c>
      <c r="E3160" t="s">
        <v>315</v>
      </c>
      <c r="F3160" t="s">
        <v>11496</v>
      </c>
      <c r="G3160" t="s">
        <v>11497</v>
      </c>
      <c r="H3160" t="str">
        <f>"01613598000"</f>
        <v>01613598000</v>
      </c>
    </row>
    <row r="3161" spans="1:8">
      <c r="A3161" t="s">
        <v>11498</v>
      </c>
      <c r="B3161" t="s">
        <v>11499</v>
      </c>
      <c r="D3161" t="s">
        <v>57</v>
      </c>
      <c r="F3161" t="s">
        <v>11500</v>
      </c>
      <c r="G3161" t="s">
        <v>11501</v>
      </c>
      <c r="H3161" t="str">
        <f>"02039 230440"</f>
        <v>02039 230440</v>
      </c>
    </row>
    <row r="3162" spans="1:8">
      <c r="A3162" t="s">
        <v>11502</v>
      </c>
      <c r="B3162" t="s">
        <v>11503</v>
      </c>
      <c r="D3162" t="s">
        <v>2623</v>
      </c>
      <c r="E3162" t="s">
        <v>292</v>
      </c>
      <c r="F3162" t="s">
        <v>11504</v>
      </c>
      <c r="G3162" t="s">
        <v>11505</v>
      </c>
      <c r="H3162" t="str">
        <f>"01775 724381"</f>
        <v>01775 724381</v>
      </c>
    </row>
    <row r="3163" spans="1:8">
      <c r="A3163" t="s">
        <v>11502</v>
      </c>
      <c r="B3163" t="s">
        <v>424</v>
      </c>
      <c r="C3163" t="s">
        <v>11506</v>
      </c>
      <c r="D3163" t="s">
        <v>2623</v>
      </c>
      <c r="E3163" t="s">
        <v>10370</v>
      </c>
      <c r="F3163" t="s">
        <v>11507</v>
      </c>
      <c r="G3163" t="s">
        <v>11505</v>
      </c>
      <c r="H3163" t="str">
        <f>"01406 422621"</f>
        <v>01406 422621</v>
      </c>
    </row>
    <row r="3164" spans="1:8">
      <c r="A3164" t="s">
        <v>11508</v>
      </c>
      <c r="B3164" t="s">
        <v>11509</v>
      </c>
      <c r="C3164" t="s">
        <v>11510</v>
      </c>
      <c r="D3164" t="s">
        <v>326</v>
      </c>
      <c r="E3164" t="s">
        <v>280</v>
      </c>
      <c r="F3164" t="s">
        <v>11511</v>
      </c>
      <c r="G3164" t="s">
        <v>11512</v>
      </c>
      <c r="H3164" t="str">
        <f>"01924927700"</f>
        <v>01924927700</v>
      </c>
    </row>
    <row r="3165" spans="1:8">
      <c r="A3165" t="s">
        <v>11513</v>
      </c>
      <c r="B3165" t="s">
        <v>11514</v>
      </c>
      <c r="D3165" t="s">
        <v>2434</v>
      </c>
      <c r="E3165" t="s">
        <v>1487</v>
      </c>
      <c r="F3165" t="s">
        <v>11515</v>
      </c>
      <c r="G3165" t="s">
        <v>11516</v>
      </c>
      <c r="H3165" t="str">
        <f>"0191 513 0333"</f>
        <v>0191 513 0333</v>
      </c>
    </row>
    <row r="3166" spans="1:8">
      <c r="A3166" t="s">
        <v>11517</v>
      </c>
      <c r="B3166" t="s">
        <v>11518</v>
      </c>
      <c r="D3166" t="s">
        <v>11519</v>
      </c>
      <c r="E3166" t="s">
        <v>2112</v>
      </c>
      <c r="F3166" t="s">
        <v>11520</v>
      </c>
      <c r="G3166" t="s">
        <v>11521</v>
      </c>
      <c r="H3166" t="str">
        <f>"01706 941199"</f>
        <v>01706 941199</v>
      </c>
    </row>
    <row r="3167" spans="1:8">
      <c r="A3167" t="s">
        <v>11522</v>
      </c>
      <c r="B3167" t="s">
        <v>11523</v>
      </c>
      <c r="D3167" t="s">
        <v>2772</v>
      </c>
      <c r="E3167" t="s">
        <v>569</v>
      </c>
      <c r="F3167" t="s">
        <v>11524</v>
      </c>
      <c r="G3167" t="s">
        <v>11525</v>
      </c>
      <c r="H3167" t="str">
        <f>"01254698317"</f>
        <v>01254698317</v>
      </c>
    </row>
    <row r="3168" spans="1:8">
      <c r="A3168" t="s">
        <v>11526</v>
      </c>
      <c r="B3168" t="s">
        <v>11527</v>
      </c>
      <c r="C3168" t="s">
        <v>11528</v>
      </c>
      <c r="D3168" t="s">
        <v>213</v>
      </c>
      <c r="E3168" t="s">
        <v>227</v>
      </c>
      <c r="F3168" t="s">
        <v>11077</v>
      </c>
      <c r="G3168" t="s">
        <v>11529</v>
      </c>
      <c r="H3168" t="str">
        <f>"01709 511100"</f>
        <v>01709 511100</v>
      </c>
    </row>
    <row r="3169" spans="1:8">
      <c r="A3169" t="s">
        <v>11530</v>
      </c>
      <c r="B3169" t="s">
        <v>11531</v>
      </c>
      <c r="D3169" t="s">
        <v>649</v>
      </c>
      <c r="E3169" t="s">
        <v>315</v>
      </c>
      <c r="F3169" t="s">
        <v>11532</v>
      </c>
      <c r="G3169" t="s">
        <v>11533</v>
      </c>
      <c r="H3169" t="str">
        <f>"01270766550"</f>
        <v>01270766550</v>
      </c>
    </row>
    <row r="3170" spans="1:8">
      <c r="A3170" t="s">
        <v>11530</v>
      </c>
      <c r="B3170" t="s">
        <v>11534</v>
      </c>
      <c r="D3170" t="s">
        <v>658</v>
      </c>
      <c r="E3170" t="s">
        <v>315</v>
      </c>
      <c r="F3170" t="s">
        <v>11535</v>
      </c>
      <c r="G3170" t="s">
        <v>11533</v>
      </c>
      <c r="H3170" t="str">
        <f>"01606 48111"</f>
        <v>01606 48111</v>
      </c>
    </row>
    <row r="3171" spans="1:8">
      <c r="A3171" t="s">
        <v>11530</v>
      </c>
      <c r="B3171" t="s">
        <v>11536</v>
      </c>
      <c r="D3171" t="s">
        <v>11537</v>
      </c>
      <c r="E3171" t="s">
        <v>11538</v>
      </c>
      <c r="F3171" t="s">
        <v>11539</v>
      </c>
      <c r="G3171" t="s">
        <v>11533</v>
      </c>
      <c r="H3171" t="str">
        <f>"01606 557211"</f>
        <v>01606 557211</v>
      </c>
    </row>
    <row r="3172" spans="1:8">
      <c r="A3172" t="s">
        <v>11540</v>
      </c>
      <c r="B3172" t="s">
        <v>11541</v>
      </c>
      <c r="D3172" t="s">
        <v>11542</v>
      </c>
      <c r="F3172" t="s">
        <v>10112</v>
      </c>
      <c r="G3172" t="s">
        <v>11543</v>
      </c>
      <c r="H3172" t="str">
        <f>"01978 291456"</f>
        <v>01978 291456</v>
      </c>
    </row>
    <row r="3173" spans="1:8">
      <c r="A3173" t="s">
        <v>11540</v>
      </c>
      <c r="B3173" t="s">
        <v>11544</v>
      </c>
      <c r="D3173" t="s">
        <v>11545</v>
      </c>
      <c r="E3173" t="s">
        <v>10131</v>
      </c>
      <c r="F3173" t="s">
        <v>11546</v>
      </c>
      <c r="G3173" t="s">
        <v>11547</v>
      </c>
      <c r="H3173" t="str">
        <f>"01691659194"</f>
        <v>01691659194</v>
      </c>
    </row>
    <row r="3174" spans="1:8">
      <c r="A3174" t="s">
        <v>11540</v>
      </c>
      <c r="B3174" t="s">
        <v>11548</v>
      </c>
      <c r="D3174" t="s">
        <v>11549</v>
      </c>
      <c r="E3174" t="s">
        <v>11550</v>
      </c>
      <c r="F3174" t="s">
        <v>11551</v>
      </c>
      <c r="G3174" t="s">
        <v>11552</v>
      </c>
      <c r="H3174" t="str">
        <f>"01978860313"</f>
        <v>01978860313</v>
      </c>
    </row>
    <row r="3175" spans="1:8">
      <c r="A3175" t="s">
        <v>11540</v>
      </c>
      <c r="B3175" t="s">
        <v>11553</v>
      </c>
      <c r="D3175" t="s">
        <v>7852</v>
      </c>
      <c r="E3175" t="s">
        <v>106</v>
      </c>
      <c r="F3175" t="s">
        <v>11554</v>
      </c>
      <c r="G3175" t="s">
        <v>11555</v>
      </c>
      <c r="H3175" t="str">
        <f>"01691 659194"</f>
        <v>01691 659194</v>
      </c>
    </row>
    <row r="3176" spans="1:8">
      <c r="A3176" t="s">
        <v>11556</v>
      </c>
      <c r="B3176" t="s">
        <v>11557</v>
      </c>
      <c r="D3176" t="s">
        <v>674</v>
      </c>
      <c r="E3176" t="s">
        <v>280</v>
      </c>
      <c r="F3176" t="s">
        <v>11558</v>
      </c>
      <c r="G3176" t="s">
        <v>11559</v>
      </c>
      <c r="H3176" t="str">
        <f>"01274 888001"</f>
        <v>01274 888001</v>
      </c>
    </row>
    <row r="3177" spans="1:8">
      <c r="A3177" t="s">
        <v>11560</v>
      </c>
      <c r="B3177" t="s">
        <v>11561</v>
      </c>
      <c r="C3177" t="s">
        <v>11562</v>
      </c>
      <c r="D3177" t="s">
        <v>1256</v>
      </c>
      <c r="E3177" t="s">
        <v>280</v>
      </c>
      <c r="F3177" t="s">
        <v>11563</v>
      </c>
      <c r="G3177" t="s">
        <v>11564</v>
      </c>
      <c r="H3177" t="str">
        <f>"01484 556677"</f>
        <v>01484 556677</v>
      </c>
    </row>
    <row r="3178" spans="1:8">
      <c r="A3178" t="s">
        <v>11560</v>
      </c>
      <c r="B3178" t="s">
        <v>11565</v>
      </c>
      <c r="D3178" t="s">
        <v>355</v>
      </c>
      <c r="F3178" t="s">
        <v>11566</v>
      </c>
      <c r="G3178" t="s">
        <v>11564</v>
      </c>
      <c r="H3178" t="str">
        <f>"0113 5130500"</f>
        <v>0113 5130500</v>
      </c>
    </row>
    <row r="3179" spans="1:8">
      <c r="A3179" t="s">
        <v>11560</v>
      </c>
      <c r="B3179" t="s">
        <v>11567</v>
      </c>
      <c r="C3179" t="s">
        <v>4715</v>
      </c>
      <c r="D3179" t="s">
        <v>355</v>
      </c>
      <c r="F3179" t="s">
        <v>11568</v>
      </c>
      <c r="G3179" t="s">
        <v>11564</v>
      </c>
      <c r="H3179" t="str">
        <f>"01135133232"</f>
        <v>01135133232</v>
      </c>
    </row>
    <row r="3180" spans="1:8">
      <c r="A3180" t="s">
        <v>11569</v>
      </c>
      <c r="B3180" t="s">
        <v>11570</v>
      </c>
      <c r="C3180" t="s">
        <v>6257</v>
      </c>
      <c r="D3180" t="s">
        <v>6254</v>
      </c>
      <c r="E3180" t="s">
        <v>464</v>
      </c>
      <c r="F3180" t="s">
        <v>10170</v>
      </c>
      <c r="G3180" t="s">
        <v>11571</v>
      </c>
      <c r="H3180" t="str">
        <f>"01275855561"</f>
        <v>01275855561</v>
      </c>
    </row>
    <row r="3181" spans="1:8">
      <c r="A3181" t="s">
        <v>11572</v>
      </c>
      <c r="B3181" t="s">
        <v>11573</v>
      </c>
      <c r="D3181" t="s">
        <v>3938</v>
      </c>
      <c r="F3181" t="s">
        <v>11574</v>
      </c>
      <c r="G3181" t="s">
        <v>11575</v>
      </c>
      <c r="H3181" t="str">
        <f>"02476 632121"</f>
        <v>02476 632121</v>
      </c>
    </row>
    <row r="3182" spans="1:8">
      <c r="A3182" t="s">
        <v>11576</v>
      </c>
      <c r="B3182" t="s">
        <v>11577</v>
      </c>
      <c r="D3182" t="s">
        <v>14</v>
      </c>
      <c r="E3182" t="s">
        <v>16</v>
      </c>
      <c r="F3182" t="s">
        <v>11578</v>
      </c>
      <c r="G3182" t="s">
        <v>11579</v>
      </c>
      <c r="H3182" t="str">
        <f>"0121 6904000"</f>
        <v>0121 6904000</v>
      </c>
    </row>
    <row r="3183" spans="1:8">
      <c r="A3183" t="s">
        <v>11580</v>
      </c>
      <c r="B3183" t="s">
        <v>11581</v>
      </c>
      <c r="C3183" t="s">
        <v>11582</v>
      </c>
      <c r="D3183" t="s">
        <v>124</v>
      </c>
      <c r="E3183" t="s">
        <v>121</v>
      </c>
      <c r="F3183" t="s">
        <v>11583</v>
      </c>
      <c r="G3183" t="s">
        <v>11584</v>
      </c>
      <c r="H3183" t="str">
        <f>"023 8090 8090"</f>
        <v>023 8090 8090</v>
      </c>
    </row>
    <row r="3184" spans="1:8">
      <c r="A3184" t="s">
        <v>11580</v>
      </c>
      <c r="B3184" t="s">
        <v>11585</v>
      </c>
      <c r="C3184" t="s">
        <v>11586</v>
      </c>
      <c r="D3184" t="s">
        <v>6434</v>
      </c>
      <c r="E3184" t="s">
        <v>760</v>
      </c>
      <c r="F3184" t="s">
        <v>11587</v>
      </c>
      <c r="G3184" t="s">
        <v>11584</v>
      </c>
      <c r="H3184" t="str">
        <f>"01865 248607"</f>
        <v>01865 248607</v>
      </c>
    </row>
    <row r="3185" spans="1:8">
      <c r="A3185" t="s">
        <v>11580</v>
      </c>
      <c r="B3185" t="s">
        <v>11588</v>
      </c>
      <c r="D3185" t="s">
        <v>57</v>
      </c>
      <c r="F3185" t="s">
        <v>11589</v>
      </c>
      <c r="G3185" t="s">
        <v>11590</v>
      </c>
      <c r="H3185" t="str">
        <f>"02074052000"</f>
        <v>02074052000</v>
      </c>
    </row>
    <row r="3186" spans="1:8">
      <c r="A3186" t="s">
        <v>11580</v>
      </c>
      <c r="B3186" t="s">
        <v>11591</v>
      </c>
      <c r="D3186" t="s">
        <v>303</v>
      </c>
      <c r="E3186" t="s">
        <v>1358</v>
      </c>
      <c r="F3186" t="s">
        <v>11592</v>
      </c>
      <c r="G3186" t="s">
        <v>11590</v>
      </c>
      <c r="H3186" t="str">
        <f>"029 2068 6000"</f>
        <v>029 2068 6000</v>
      </c>
    </row>
    <row r="3187" spans="1:8">
      <c r="A3187" t="s">
        <v>11580</v>
      </c>
      <c r="B3187" t="s">
        <v>11593</v>
      </c>
      <c r="D3187" t="s">
        <v>152</v>
      </c>
      <c r="E3187" t="s">
        <v>153</v>
      </c>
      <c r="F3187" t="s">
        <v>11594</v>
      </c>
      <c r="G3187" t="s">
        <v>11590</v>
      </c>
      <c r="H3187" t="str">
        <f>"029 2068 6223"</f>
        <v>029 2068 6223</v>
      </c>
    </row>
    <row r="3188" spans="1:8">
      <c r="A3188" t="s">
        <v>11595</v>
      </c>
      <c r="B3188" t="s">
        <v>11596</v>
      </c>
      <c r="C3188" t="s">
        <v>11597</v>
      </c>
      <c r="D3188" t="s">
        <v>297</v>
      </c>
      <c r="E3188" t="s">
        <v>132</v>
      </c>
      <c r="F3188" t="s">
        <v>11598</v>
      </c>
      <c r="G3188" t="s">
        <v>11599</v>
      </c>
      <c r="H3188" t="str">
        <f>"0161 7101786"</f>
        <v>0161 7101786</v>
      </c>
    </row>
    <row r="3189" spans="1:8">
      <c r="A3189" t="s">
        <v>11600</v>
      </c>
      <c r="B3189" t="s">
        <v>11601</v>
      </c>
      <c r="D3189" t="s">
        <v>11602</v>
      </c>
      <c r="E3189" t="s">
        <v>502</v>
      </c>
      <c r="F3189" t="s">
        <v>11603</v>
      </c>
      <c r="G3189" t="s">
        <v>11604</v>
      </c>
      <c r="H3189" t="str">
        <f>"01403 456 430"</f>
        <v>01403 456 430</v>
      </c>
    </row>
    <row r="3190" spans="1:8">
      <c r="A3190" t="s">
        <v>11605</v>
      </c>
      <c r="B3190" t="s">
        <v>11606</v>
      </c>
      <c r="D3190" t="s">
        <v>14</v>
      </c>
      <c r="E3190" t="s">
        <v>3374</v>
      </c>
      <c r="F3190" t="s">
        <v>11607</v>
      </c>
      <c r="G3190" t="s">
        <v>11608</v>
      </c>
      <c r="H3190" t="str">
        <f>"01212479491"</f>
        <v>01212479491</v>
      </c>
    </row>
    <row r="3191" spans="1:8">
      <c r="A3191" t="s">
        <v>11609</v>
      </c>
      <c r="B3191" t="s">
        <v>11610</v>
      </c>
      <c r="C3191" t="s">
        <v>11611</v>
      </c>
      <c r="D3191" t="s">
        <v>2592</v>
      </c>
      <c r="E3191" t="s">
        <v>2710</v>
      </c>
      <c r="F3191" t="s">
        <v>11612</v>
      </c>
      <c r="G3191" t="s">
        <v>11613</v>
      </c>
      <c r="H3191" t="str">
        <f>"0151 326 2340"</f>
        <v>0151 326 2340</v>
      </c>
    </row>
    <row r="3192" spans="1:8">
      <c r="A3192" t="s">
        <v>11614</v>
      </c>
      <c r="B3192" t="s">
        <v>11615</v>
      </c>
      <c r="C3192" t="s">
        <v>1541</v>
      </c>
      <c r="D3192" t="s">
        <v>3194</v>
      </c>
      <c r="E3192" t="s">
        <v>16</v>
      </c>
      <c r="F3192" t="s">
        <v>11616</v>
      </c>
      <c r="G3192" t="s">
        <v>11617</v>
      </c>
      <c r="H3192" t="str">
        <f>"01217458550"</f>
        <v>01217458550</v>
      </c>
    </row>
    <row r="3193" spans="1:8">
      <c r="A3193" t="s">
        <v>11614</v>
      </c>
      <c r="B3193" t="s">
        <v>11618</v>
      </c>
      <c r="D3193" t="s">
        <v>11619</v>
      </c>
      <c r="E3193" t="s">
        <v>1200</v>
      </c>
      <c r="F3193" t="s">
        <v>11620</v>
      </c>
      <c r="G3193" t="s">
        <v>11617</v>
      </c>
      <c r="H3193" t="str">
        <f>"01564 377 070"</f>
        <v>01564 377 070</v>
      </c>
    </row>
    <row r="3194" spans="1:8">
      <c r="A3194" t="s">
        <v>11614</v>
      </c>
      <c r="B3194" t="s">
        <v>11621</v>
      </c>
      <c r="D3194" t="s">
        <v>2447</v>
      </c>
      <c r="F3194" t="s">
        <v>11622</v>
      </c>
      <c r="G3194" t="s">
        <v>11623</v>
      </c>
      <c r="H3194" t="str">
        <f>"0182765765"</f>
        <v>0182765765</v>
      </c>
    </row>
    <row r="3195" spans="1:8">
      <c r="A3195" t="s">
        <v>11624</v>
      </c>
      <c r="B3195" t="s">
        <v>11625</v>
      </c>
      <c r="D3195" t="s">
        <v>403</v>
      </c>
      <c r="E3195" t="s">
        <v>184</v>
      </c>
      <c r="F3195" t="s">
        <v>11626</v>
      </c>
      <c r="G3195" t="s">
        <v>11627</v>
      </c>
      <c r="H3195" t="str">
        <f>"01727839162"</f>
        <v>01727839162</v>
      </c>
    </row>
    <row r="3196" spans="1:8">
      <c r="A3196" t="s">
        <v>11628</v>
      </c>
      <c r="B3196" t="s">
        <v>11629</v>
      </c>
      <c r="D3196" t="s">
        <v>11630</v>
      </c>
      <c r="E3196" t="s">
        <v>742</v>
      </c>
      <c r="F3196" t="s">
        <v>11631</v>
      </c>
      <c r="G3196" t="s">
        <v>11632</v>
      </c>
      <c r="H3196" t="str">
        <f>"01328863231"</f>
        <v>01328863231</v>
      </c>
    </row>
    <row r="3197" spans="1:8">
      <c r="A3197" t="s">
        <v>11628</v>
      </c>
      <c r="B3197" t="s">
        <v>11633</v>
      </c>
      <c r="C3197" t="s">
        <v>11634</v>
      </c>
      <c r="D3197" t="s">
        <v>3740</v>
      </c>
      <c r="E3197" t="s">
        <v>742</v>
      </c>
      <c r="F3197" t="s">
        <v>11635</v>
      </c>
      <c r="G3197" t="s">
        <v>11632</v>
      </c>
      <c r="H3197" t="str">
        <f>"01263 825959"</f>
        <v>01263 825959</v>
      </c>
    </row>
    <row r="3198" spans="1:8">
      <c r="A3198" t="s">
        <v>11628</v>
      </c>
      <c r="B3198" t="s">
        <v>11636</v>
      </c>
      <c r="D3198" t="s">
        <v>9267</v>
      </c>
      <c r="E3198" t="s">
        <v>742</v>
      </c>
      <c r="F3198" t="s">
        <v>11637</v>
      </c>
      <c r="G3198" t="s">
        <v>11632</v>
      </c>
      <c r="H3198" t="str">
        <f>"01263 712835"</f>
        <v>01263 712835</v>
      </c>
    </row>
    <row r="3199" spans="1:8">
      <c r="A3199" t="s">
        <v>11628</v>
      </c>
      <c r="B3199" t="s">
        <v>11638</v>
      </c>
      <c r="C3199" t="s">
        <v>11639</v>
      </c>
      <c r="D3199" t="s">
        <v>5002</v>
      </c>
      <c r="E3199" t="s">
        <v>742</v>
      </c>
      <c r="F3199" t="s">
        <v>11640</v>
      </c>
      <c r="G3199" t="s">
        <v>11632</v>
      </c>
      <c r="H3199" t="str">
        <f>"01553 778900"</f>
        <v>01553 778900</v>
      </c>
    </row>
    <row r="3200" spans="1:8">
      <c r="A3200" t="s">
        <v>11628</v>
      </c>
      <c r="B3200" t="s">
        <v>11641</v>
      </c>
      <c r="D3200" t="s">
        <v>9564</v>
      </c>
      <c r="E3200" t="s">
        <v>4086</v>
      </c>
      <c r="F3200" t="s">
        <v>11642</v>
      </c>
      <c r="G3200" t="s">
        <v>11632</v>
      </c>
      <c r="H3200" t="str">
        <f>"01760724424"</f>
        <v>01760724424</v>
      </c>
    </row>
    <row r="3201" spans="1:8">
      <c r="A3201" t="s">
        <v>11643</v>
      </c>
      <c r="B3201" t="s">
        <v>11644</v>
      </c>
      <c r="D3201" t="s">
        <v>649</v>
      </c>
      <c r="E3201" t="s">
        <v>315</v>
      </c>
      <c r="F3201" t="s">
        <v>11645</v>
      </c>
      <c r="G3201" t="s">
        <v>11646</v>
      </c>
      <c r="H3201" t="str">
        <f>"01270696782"</f>
        <v>01270696782</v>
      </c>
    </row>
    <row r="3202" spans="1:8">
      <c r="A3202" t="s">
        <v>11647</v>
      </c>
      <c r="B3202" t="s">
        <v>11648</v>
      </c>
      <c r="C3202" t="s">
        <v>11649</v>
      </c>
      <c r="D3202" t="s">
        <v>5680</v>
      </c>
      <c r="E3202" t="s">
        <v>171</v>
      </c>
      <c r="F3202" t="s">
        <v>11650</v>
      </c>
      <c r="G3202" t="s">
        <v>11651</v>
      </c>
      <c r="H3202" t="str">
        <f>"01795505992"</f>
        <v>01795505992</v>
      </c>
    </row>
    <row r="3203" spans="1:8">
      <c r="A3203" t="s">
        <v>11647</v>
      </c>
      <c r="B3203" t="s">
        <v>11652</v>
      </c>
      <c r="D3203" t="s">
        <v>11653</v>
      </c>
      <c r="F3203" t="s">
        <v>11654</v>
      </c>
      <c r="G3203" t="s">
        <v>11651</v>
      </c>
      <c r="H3203" t="str">
        <f>"01795 505993"</f>
        <v>01795 505993</v>
      </c>
    </row>
    <row r="3204" spans="1:8">
      <c r="A3204" t="s">
        <v>11655</v>
      </c>
      <c r="B3204" t="s">
        <v>11656</v>
      </c>
      <c r="C3204" t="s">
        <v>10193</v>
      </c>
      <c r="D3204" t="s">
        <v>4005</v>
      </c>
      <c r="E3204" t="s">
        <v>16</v>
      </c>
      <c r="F3204" t="s">
        <v>11657</v>
      </c>
      <c r="G3204" t="s">
        <v>11658</v>
      </c>
      <c r="H3204" t="str">
        <f>"01922452860"</f>
        <v>01922452860</v>
      </c>
    </row>
    <row r="3205" spans="1:8">
      <c r="A3205" t="s">
        <v>11659</v>
      </c>
      <c r="B3205" t="s">
        <v>11660</v>
      </c>
      <c r="D3205" t="s">
        <v>11661</v>
      </c>
      <c r="E3205" t="s">
        <v>1050</v>
      </c>
      <c r="F3205" t="s">
        <v>11662</v>
      </c>
      <c r="G3205" t="s">
        <v>11663</v>
      </c>
      <c r="H3205" t="str">
        <f>"01495 223161"</f>
        <v>01495 223161</v>
      </c>
    </row>
    <row r="3206" spans="1:8">
      <c r="A3206" t="s">
        <v>11659</v>
      </c>
      <c r="B3206" t="s">
        <v>11664</v>
      </c>
      <c r="D3206" t="s">
        <v>11665</v>
      </c>
      <c r="E3206" t="s">
        <v>4051</v>
      </c>
      <c r="F3206" t="s">
        <v>11666</v>
      </c>
      <c r="G3206" t="s">
        <v>11667</v>
      </c>
      <c r="H3206" t="str">
        <f>"01495 217070"</f>
        <v>01495 217070</v>
      </c>
    </row>
    <row r="3207" spans="1:8">
      <c r="A3207" t="s">
        <v>11659</v>
      </c>
      <c r="B3207" t="s">
        <v>11668</v>
      </c>
      <c r="D3207" t="s">
        <v>11669</v>
      </c>
      <c r="E3207" t="s">
        <v>1050</v>
      </c>
      <c r="F3207" t="s">
        <v>11670</v>
      </c>
      <c r="G3207" t="s">
        <v>11671</v>
      </c>
      <c r="H3207" t="str">
        <f>"01495 243268"</f>
        <v>01495 243268</v>
      </c>
    </row>
    <row r="3208" spans="1:8">
      <c r="A3208" t="s">
        <v>11659</v>
      </c>
      <c r="B3208" t="s">
        <v>11672</v>
      </c>
      <c r="D3208" t="s">
        <v>11673</v>
      </c>
      <c r="E3208" t="s">
        <v>11674</v>
      </c>
      <c r="F3208" t="s">
        <v>11675</v>
      </c>
      <c r="G3208" t="s">
        <v>11676</v>
      </c>
      <c r="H3208" t="str">
        <f>"01633 612353"</f>
        <v>01633 612353</v>
      </c>
    </row>
    <row r="3209" spans="1:8">
      <c r="A3209" t="s">
        <v>11677</v>
      </c>
      <c r="B3209" t="s">
        <v>11678</v>
      </c>
      <c r="C3209" t="s">
        <v>11679</v>
      </c>
      <c r="D3209" t="s">
        <v>11680</v>
      </c>
      <c r="E3209" t="s">
        <v>990</v>
      </c>
      <c r="F3209" t="s">
        <v>11681</v>
      </c>
      <c r="G3209" t="s">
        <v>11682</v>
      </c>
      <c r="H3209" t="str">
        <f>"03300552955"</f>
        <v>03300552955</v>
      </c>
    </row>
    <row r="3210" spans="1:8">
      <c r="A3210" t="s">
        <v>11677</v>
      </c>
      <c r="B3210" t="s">
        <v>11684</v>
      </c>
      <c r="C3210" t="s">
        <v>11685</v>
      </c>
      <c r="D3210" t="s">
        <v>11683</v>
      </c>
      <c r="E3210" t="s">
        <v>774</v>
      </c>
      <c r="F3210" t="s">
        <v>11686</v>
      </c>
      <c r="G3210" t="s">
        <v>11687</v>
      </c>
      <c r="H3210" t="str">
        <f>"03300 552955"</f>
        <v>03300 552955</v>
      </c>
    </row>
    <row r="3211" spans="1:8">
      <c r="A3211" t="s">
        <v>11688</v>
      </c>
      <c r="B3211" t="s">
        <v>11689</v>
      </c>
      <c r="D3211" t="s">
        <v>57</v>
      </c>
      <c r="F3211" t="s">
        <v>11690</v>
      </c>
      <c r="G3211" t="s">
        <v>11691</v>
      </c>
      <c r="H3211" t="str">
        <f>"02082554186"</f>
        <v>02082554186</v>
      </c>
    </row>
    <row r="3212" spans="1:8">
      <c r="A3212" t="s">
        <v>11688</v>
      </c>
      <c r="B3212" t="s">
        <v>11692</v>
      </c>
      <c r="D3212" t="s">
        <v>57</v>
      </c>
      <c r="F3212" t="s">
        <v>11693</v>
      </c>
      <c r="G3212" t="s">
        <v>11694</v>
      </c>
      <c r="H3212" t="str">
        <f>"02082554186"</f>
        <v>02082554186</v>
      </c>
    </row>
    <row r="3213" spans="1:8">
      <c r="A3213" t="s">
        <v>11695</v>
      </c>
      <c r="B3213" t="s">
        <v>11696</v>
      </c>
      <c r="C3213" t="s">
        <v>3611</v>
      </c>
      <c r="D3213" t="s">
        <v>124</v>
      </c>
      <c r="E3213" t="s">
        <v>121</v>
      </c>
      <c r="F3213" t="s">
        <v>11697</v>
      </c>
      <c r="G3213" t="s">
        <v>11698</v>
      </c>
      <c r="H3213" t="str">
        <f>"0333 188 4758"</f>
        <v>0333 188 4758</v>
      </c>
    </row>
    <row r="3214" spans="1:8">
      <c r="A3214" t="s">
        <v>11695</v>
      </c>
      <c r="B3214" t="s">
        <v>11699</v>
      </c>
      <c r="C3214" t="s">
        <v>865</v>
      </c>
      <c r="D3214" t="s">
        <v>5605</v>
      </c>
      <c r="E3214" t="s">
        <v>121</v>
      </c>
      <c r="F3214" t="s">
        <v>11700</v>
      </c>
      <c r="G3214" t="s">
        <v>11698</v>
      </c>
      <c r="H3214" t="str">
        <f>"0333 188 4758"</f>
        <v>0333 188 4758</v>
      </c>
    </row>
    <row r="3215" spans="1:8">
      <c r="A3215" t="s">
        <v>11695</v>
      </c>
      <c r="B3215" t="s">
        <v>11701</v>
      </c>
      <c r="D3215" t="s">
        <v>541</v>
      </c>
      <c r="E3215" t="s">
        <v>502</v>
      </c>
      <c r="F3215" t="s">
        <v>11702</v>
      </c>
      <c r="G3215" t="s">
        <v>11703</v>
      </c>
      <c r="H3215" t="str">
        <f>"03331884758"</f>
        <v>03331884758</v>
      </c>
    </row>
    <row r="3216" spans="1:8">
      <c r="A3216" t="s">
        <v>11695</v>
      </c>
      <c r="B3216" t="s">
        <v>11704</v>
      </c>
      <c r="C3216" t="s">
        <v>11705</v>
      </c>
      <c r="D3216" t="s">
        <v>124</v>
      </c>
      <c r="E3216" t="s">
        <v>121</v>
      </c>
      <c r="F3216" t="s">
        <v>11706</v>
      </c>
      <c r="G3216" t="s">
        <v>11703</v>
      </c>
      <c r="H3216" t="str">
        <f>"03331884758"</f>
        <v>03331884758</v>
      </c>
    </row>
    <row r="3217" spans="1:8">
      <c r="A3217" t="s">
        <v>11707</v>
      </c>
      <c r="B3217" t="s">
        <v>11708</v>
      </c>
      <c r="C3217" t="s">
        <v>8386</v>
      </c>
      <c r="D3217" t="s">
        <v>5965</v>
      </c>
      <c r="E3217" t="s">
        <v>236</v>
      </c>
      <c r="F3217" t="s">
        <v>11709</v>
      </c>
      <c r="G3217" t="s">
        <v>11710</v>
      </c>
      <c r="H3217" t="str">
        <f>"01782577000"</f>
        <v>01782577000</v>
      </c>
    </row>
    <row r="3218" spans="1:8">
      <c r="A3218" t="s">
        <v>11707</v>
      </c>
      <c r="B3218" t="s">
        <v>11711</v>
      </c>
      <c r="D3218" t="s">
        <v>11712</v>
      </c>
      <c r="E3218" t="s">
        <v>11713</v>
      </c>
      <c r="F3218" t="s">
        <v>11714</v>
      </c>
      <c r="G3218" t="s">
        <v>11715</v>
      </c>
      <c r="H3218" t="str">
        <f>"01707 878 300"</f>
        <v>01707 878 300</v>
      </c>
    </row>
    <row r="3219" spans="1:8">
      <c r="A3219" t="s">
        <v>11707</v>
      </c>
      <c r="B3219" t="s">
        <v>11716</v>
      </c>
      <c r="D3219" t="s">
        <v>11717</v>
      </c>
      <c r="E3219" t="s">
        <v>1977</v>
      </c>
      <c r="F3219" t="s">
        <v>11718</v>
      </c>
      <c r="G3219" t="s">
        <v>11719</v>
      </c>
      <c r="H3219" t="str">
        <f>"01707 878 300"</f>
        <v>01707 878 300</v>
      </c>
    </row>
    <row r="3220" spans="1:8">
      <c r="A3220" t="s">
        <v>11720</v>
      </c>
      <c r="B3220" t="s">
        <v>11721</v>
      </c>
      <c r="C3220" t="s">
        <v>789</v>
      </c>
      <c r="D3220" t="s">
        <v>774</v>
      </c>
      <c r="E3220" t="s">
        <v>775</v>
      </c>
      <c r="F3220" t="s">
        <v>11722</v>
      </c>
      <c r="G3220" t="s">
        <v>11723</v>
      </c>
      <c r="H3220" t="str">
        <f>"0116 464 7559"</f>
        <v>0116 464 7559</v>
      </c>
    </row>
    <row r="3221" spans="1:8">
      <c r="A3221" t="s">
        <v>11724</v>
      </c>
      <c r="B3221" t="s">
        <v>11725</v>
      </c>
      <c r="C3221" t="s">
        <v>11726</v>
      </c>
      <c r="D3221" t="s">
        <v>355</v>
      </c>
      <c r="E3221" t="s">
        <v>280</v>
      </c>
      <c r="F3221" t="s">
        <v>11727</v>
      </c>
      <c r="G3221" t="s">
        <v>11728</v>
      </c>
      <c r="H3221" t="str">
        <f>"03450950170"</f>
        <v>03450950170</v>
      </c>
    </row>
    <row r="3222" spans="1:8">
      <c r="A3222" t="s">
        <v>11729</v>
      </c>
      <c r="B3222" t="s">
        <v>11730</v>
      </c>
      <c r="C3222" t="s">
        <v>8056</v>
      </c>
      <c r="D3222" t="s">
        <v>1874</v>
      </c>
      <c r="E3222" t="s">
        <v>153</v>
      </c>
      <c r="F3222" t="s">
        <v>11731</v>
      </c>
      <c r="G3222" t="s">
        <v>11732</v>
      </c>
      <c r="H3222" t="str">
        <f>"01753592000"</f>
        <v>01753592000</v>
      </c>
    </row>
    <row r="3223" spans="1:8">
      <c r="A3223" t="s">
        <v>11729</v>
      </c>
      <c r="B3223" t="s">
        <v>11733</v>
      </c>
      <c r="D3223" t="s">
        <v>57</v>
      </c>
      <c r="F3223" t="s">
        <v>11734</v>
      </c>
      <c r="G3223" t="s">
        <v>11732</v>
      </c>
      <c r="H3223" t="str">
        <f>"0208 529 5933"</f>
        <v>0208 529 5933</v>
      </c>
    </row>
    <row r="3224" spans="1:8">
      <c r="A3224" t="s">
        <v>11735</v>
      </c>
      <c r="B3224" t="s">
        <v>11736</v>
      </c>
      <c r="D3224" t="s">
        <v>1893</v>
      </c>
      <c r="E3224" t="s">
        <v>121</v>
      </c>
      <c r="F3224" t="s">
        <v>11737</v>
      </c>
      <c r="G3224" t="s">
        <v>11738</v>
      </c>
      <c r="H3224" t="str">
        <f>"02392675533"</f>
        <v>02392675533</v>
      </c>
    </row>
    <row r="3225" spans="1:8">
      <c r="A3225" t="s">
        <v>11735</v>
      </c>
      <c r="B3225" t="s">
        <v>9174</v>
      </c>
      <c r="D3225" t="s">
        <v>2186</v>
      </c>
      <c r="E3225" t="s">
        <v>121</v>
      </c>
      <c r="F3225" t="s">
        <v>11739</v>
      </c>
      <c r="G3225" t="s">
        <v>11740</v>
      </c>
      <c r="H3225" t="str">
        <f>"01243 680800"</f>
        <v>01243 680800</v>
      </c>
    </row>
    <row r="3226" spans="1:8">
      <c r="A3226" t="s">
        <v>11741</v>
      </c>
      <c r="B3226" t="s">
        <v>11742</v>
      </c>
      <c r="D3226" t="s">
        <v>11743</v>
      </c>
      <c r="E3226" t="s">
        <v>171</v>
      </c>
      <c r="F3226" t="s">
        <v>11744</v>
      </c>
      <c r="G3226" t="s">
        <v>11745</v>
      </c>
      <c r="H3226" t="str">
        <f>"01843234000"</f>
        <v>01843234000</v>
      </c>
    </row>
    <row r="3227" spans="1:8">
      <c r="A3227" t="s">
        <v>11741</v>
      </c>
      <c r="B3227" t="s">
        <v>11746</v>
      </c>
      <c r="D3227" t="s">
        <v>9362</v>
      </c>
      <c r="F3227" t="s">
        <v>11747</v>
      </c>
      <c r="G3227" t="s">
        <v>11748</v>
      </c>
      <c r="H3227" t="str">
        <f>"01843 595990"</f>
        <v>01843 595990</v>
      </c>
    </row>
    <row r="3228" spans="1:8">
      <c r="A3228" t="s">
        <v>11741</v>
      </c>
      <c r="B3228" t="s">
        <v>11749</v>
      </c>
      <c r="D3228" t="s">
        <v>11750</v>
      </c>
      <c r="F3228" t="s">
        <v>11751</v>
      </c>
      <c r="G3228" t="s">
        <v>11752</v>
      </c>
      <c r="H3228" t="str">
        <f>"01843 868861"</f>
        <v>01843 868861</v>
      </c>
    </row>
    <row r="3229" spans="1:8">
      <c r="A3229" t="s">
        <v>11741</v>
      </c>
      <c r="B3229" t="s">
        <v>11753</v>
      </c>
      <c r="D3229" t="s">
        <v>11754</v>
      </c>
      <c r="F3229" t="s">
        <v>11755</v>
      </c>
      <c r="G3229" t="s">
        <v>11756</v>
      </c>
      <c r="H3229" t="str">
        <f>"01843 842356"</f>
        <v>01843 842356</v>
      </c>
    </row>
    <row r="3230" spans="1:8">
      <c r="A3230" t="s">
        <v>11741</v>
      </c>
      <c r="B3230" t="s">
        <v>11757</v>
      </c>
      <c r="D3230" t="s">
        <v>927</v>
      </c>
      <c r="F3230" t="s">
        <v>11758</v>
      </c>
      <c r="G3230" t="s">
        <v>11745</v>
      </c>
      <c r="H3230" t="str">
        <f>"01227 785307"</f>
        <v>01227 785307</v>
      </c>
    </row>
    <row r="3231" spans="1:8">
      <c r="A3231" t="s">
        <v>11741</v>
      </c>
      <c r="B3231" t="s">
        <v>1988</v>
      </c>
      <c r="D3231" t="s">
        <v>927</v>
      </c>
      <c r="F3231" t="s">
        <v>11759</v>
      </c>
      <c r="G3231" t="s">
        <v>11760</v>
      </c>
      <c r="H3231" t="str">
        <f>"01227 813400"</f>
        <v>01227 813400</v>
      </c>
    </row>
    <row r="3232" spans="1:8">
      <c r="A3232" t="s">
        <v>11761</v>
      </c>
      <c r="B3232" t="s">
        <v>11762</v>
      </c>
      <c r="D3232" t="s">
        <v>4596</v>
      </c>
      <c r="E3232" t="s">
        <v>1200</v>
      </c>
      <c r="F3232" t="s">
        <v>11763</v>
      </c>
      <c r="G3232" t="s">
        <v>11764</v>
      </c>
      <c r="H3232" t="str">
        <f>"01789 293259"</f>
        <v>01789 293259</v>
      </c>
    </row>
    <row r="3233" spans="1:8">
      <c r="A3233" t="s">
        <v>11761</v>
      </c>
      <c r="B3233" t="s">
        <v>6277</v>
      </c>
      <c r="D3233" t="s">
        <v>11619</v>
      </c>
      <c r="E3233" t="s">
        <v>1200</v>
      </c>
      <c r="F3233" t="s">
        <v>11765</v>
      </c>
      <c r="G3233" t="s">
        <v>11766</v>
      </c>
      <c r="H3233" t="str">
        <f>"01564 792261"</f>
        <v>01564 792261</v>
      </c>
    </row>
    <row r="3234" spans="1:8">
      <c r="A3234" t="s">
        <v>11761</v>
      </c>
      <c r="B3234" t="s">
        <v>11767</v>
      </c>
      <c r="D3234" t="s">
        <v>158</v>
      </c>
      <c r="E3234" t="s">
        <v>53</v>
      </c>
      <c r="F3234" t="s">
        <v>11768</v>
      </c>
      <c r="G3234" t="s">
        <v>11766</v>
      </c>
      <c r="H3234" t="str">
        <f>"01242 228370"</f>
        <v>01242 228370</v>
      </c>
    </row>
    <row r="3235" spans="1:8">
      <c r="A3235" t="s">
        <v>11769</v>
      </c>
      <c r="B3235" t="s">
        <v>11770</v>
      </c>
      <c r="D3235" t="s">
        <v>297</v>
      </c>
      <c r="E3235" t="s">
        <v>132</v>
      </c>
      <c r="F3235" t="s">
        <v>7777</v>
      </c>
      <c r="G3235" t="s">
        <v>11771</v>
      </c>
      <c r="H3235" t="str">
        <f>"0161 667 3686"</f>
        <v>0161 667 3686</v>
      </c>
    </row>
    <row r="3236" spans="1:8">
      <c r="A3236" t="s">
        <v>11772</v>
      </c>
      <c r="B3236" t="s">
        <v>11773</v>
      </c>
      <c r="C3236" t="s">
        <v>11774</v>
      </c>
      <c r="D3236" t="s">
        <v>1345</v>
      </c>
      <c r="E3236" t="s">
        <v>616</v>
      </c>
      <c r="F3236" t="s">
        <v>11775</v>
      </c>
      <c r="G3236" t="s">
        <v>11776</v>
      </c>
      <c r="H3236" t="str">
        <f>"01423611611"</f>
        <v>01423611611</v>
      </c>
    </row>
    <row r="3237" spans="1:8">
      <c r="A3237" t="s">
        <v>11777</v>
      </c>
      <c r="B3237" t="s">
        <v>11778</v>
      </c>
      <c r="D3237" t="s">
        <v>1486</v>
      </c>
      <c r="E3237" t="s">
        <v>1487</v>
      </c>
      <c r="F3237" t="s">
        <v>11779</v>
      </c>
      <c r="G3237" t="s">
        <v>11780</v>
      </c>
      <c r="H3237" t="str">
        <f>"01919097990"</f>
        <v>01919097990</v>
      </c>
    </row>
    <row r="3238" spans="1:8">
      <c r="A3238" t="s">
        <v>11781</v>
      </c>
      <c r="B3238" t="s">
        <v>11782</v>
      </c>
      <c r="C3238" t="s">
        <v>11783</v>
      </c>
      <c r="D3238" t="s">
        <v>14</v>
      </c>
      <c r="E3238" t="s">
        <v>16</v>
      </c>
      <c r="F3238" t="s">
        <v>11784</v>
      </c>
      <c r="G3238" t="s">
        <v>11785</v>
      </c>
      <c r="H3238" t="str">
        <f>"01214495050"</f>
        <v>01214495050</v>
      </c>
    </row>
    <row r="3239" spans="1:8">
      <c r="A3239" t="s">
        <v>11781</v>
      </c>
      <c r="B3239" t="s">
        <v>11787</v>
      </c>
      <c r="C3239" t="s">
        <v>11786</v>
      </c>
      <c r="D3239" t="s">
        <v>14</v>
      </c>
      <c r="E3239" t="s">
        <v>16</v>
      </c>
      <c r="F3239" t="s">
        <v>11788</v>
      </c>
      <c r="G3239" t="s">
        <v>11789</v>
      </c>
      <c r="H3239" t="str">
        <f>"01217078484"</f>
        <v>01217078484</v>
      </c>
    </row>
    <row r="3240" spans="1:8">
      <c r="A3240" t="s">
        <v>11781</v>
      </c>
      <c r="B3240" t="s">
        <v>11790</v>
      </c>
      <c r="C3240" t="s">
        <v>3425</v>
      </c>
      <c r="D3240" t="s">
        <v>14</v>
      </c>
      <c r="E3240" t="s">
        <v>16</v>
      </c>
      <c r="F3240" t="s">
        <v>11791</v>
      </c>
      <c r="G3240" t="s">
        <v>11792</v>
      </c>
      <c r="H3240" t="str">
        <f>"01217782161"</f>
        <v>01217782161</v>
      </c>
    </row>
    <row r="3241" spans="1:8">
      <c r="A3241" t="s">
        <v>11793</v>
      </c>
      <c r="B3241" t="s">
        <v>11794</v>
      </c>
      <c r="C3241" t="s">
        <v>2809</v>
      </c>
      <c r="D3241" t="s">
        <v>2710</v>
      </c>
      <c r="E3241" t="s">
        <v>893</v>
      </c>
      <c r="F3241" t="s">
        <v>11795</v>
      </c>
      <c r="G3241" t="s">
        <v>11796</v>
      </c>
      <c r="H3241" t="str">
        <f>"0151 342 1831"</f>
        <v>0151 342 1831</v>
      </c>
    </row>
    <row r="3242" spans="1:8">
      <c r="A3242" t="s">
        <v>11793</v>
      </c>
      <c r="B3242" t="s">
        <v>11797</v>
      </c>
      <c r="C3242" t="s">
        <v>11798</v>
      </c>
      <c r="D3242" t="s">
        <v>892</v>
      </c>
      <c r="E3242" t="s">
        <v>893</v>
      </c>
      <c r="F3242" t="s">
        <v>11799</v>
      </c>
      <c r="G3242" t="s">
        <v>11800</v>
      </c>
      <c r="H3242" t="str">
        <f>"01512367171"</f>
        <v>01512367171</v>
      </c>
    </row>
    <row r="3243" spans="1:8">
      <c r="A3243" t="s">
        <v>11801</v>
      </c>
      <c r="B3243" t="s">
        <v>11802</v>
      </c>
      <c r="D3243" t="s">
        <v>57</v>
      </c>
      <c r="F3243" t="s">
        <v>11803</v>
      </c>
      <c r="G3243" t="s">
        <v>11804</v>
      </c>
      <c r="H3243" t="str">
        <f>"0207 177 7579"</f>
        <v>0207 177 7579</v>
      </c>
    </row>
    <row r="3244" spans="1:8">
      <c r="A3244" t="s">
        <v>11805</v>
      </c>
      <c r="B3244" t="s">
        <v>11806</v>
      </c>
      <c r="D3244" t="s">
        <v>3030</v>
      </c>
      <c r="E3244" t="s">
        <v>1069</v>
      </c>
      <c r="F3244" t="s">
        <v>11807</v>
      </c>
      <c r="G3244" t="s">
        <v>11808</v>
      </c>
      <c r="H3244" t="str">
        <f>"01639 893700"</f>
        <v>01639 893700</v>
      </c>
    </row>
    <row r="3245" spans="1:8">
      <c r="A3245" t="s">
        <v>11809</v>
      </c>
      <c r="B3245" t="s">
        <v>11810</v>
      </c>
      <c r="D3245" t="s">
        <v>11811</v>
      </c>
      <c r="E3245" t="s">
        <v>309</v>
      </c>
      <c r="F3245" t="s">
        <v>11812</v>
      </c>
      <c r="G3245" t="s">
        <v>11813</v>
      </c>
      <c r="H3245" t="str">
        <f>"01626202404"</f>
        <v>01626202404</v>
      </c>
    </row>
    <row r="3246" spans="1:8">
      <c r="A3246" t="s">
        <v>11809</v>
      </c>
      <c r="B3246" t="s">
        <v>11814</v>
      </c>
      <c r="D3246" t="s">
        <v>308</v>
      </c>
      <c r="F3246" t="s">
        <v>11815</v>
      </c>
      <c r="G3246" t="s">
        <v>11813</v>
      </c>
      <c r="H3246" t="str">
        <f>"01803 202404"</f>
        <v>01803 202404</v>
      </c>
    </row>
    <row r="3247" spans="1:8">
      <c r="A3247" t="s">
        <v>11809</v>
      </c>
      <c r="B3247" t="s">
        <v>11817</v>
      </c>
      <c r="C3247" t="s">
        <v>2877</v>
      </c>
      <c r="D3247" t="s">
        <v>11816</v>
      </c>
      <c r="E3247" t="s">
        <v>309</v>
      </c>
      <c r="F3247" t="s">
        <v>11818</v>
      </c>
      <c r="G3247" t="s">
        <v>11813</v>
      </c>
      <c r="H3247" t="str">
        <f>"01626 833263"</f>
        <v>01626 833263</v>
      </c>
    </row>
    <row r="3248" spans="1:8">
      <c r="A3248" t="s">
        <v>11809</v>
      </c>
      <c r="B3248" t="s">
        <v>11819</v>
      </c>
      <c r="D3248" t="s">
        <v>6935</v>
      </c>
      <c r="E3248" t="s">
        <v>2281</v>
      </c>
      <c r="F3248" t="s">
        <v>11820</v>
      </c>
      <c r="G3248" t="s">
        <v>11813</v>
      </c>
      <c r="H3248" t="str">
        <f>"01566 772451"</f>
        <v>01566 772451</v>
      </c>
    </row>
    <row r="3249" spans="1:8">
      <c r="A3249" t="s">
        <v>11809</v>
      </c>
      <c r="B3249" t="s">
        <v>11821</v>
      </c>
      <c r="D3249" t="s">
        <v>9613</v>
      </c>
      <c r="E3249" t="s">
        <v>309</v>
      </c>
      <c r="F3249" t="s">
        <v>11822</v>
      </c>
      <c r="G3249" t="s">
        <v>11813</v>
      </c>
      <c r="H3249" t="str">
        <f>"01803 546100"</f>
        <v>01803 546100</v>
      </c>
    </row>
    <row r="3250" spans="1:8">
      <c r="A3250" t="s">
        <v>11809</v>
      </c>
      <c r="B3250" t="s">
        <v>11823</v>
      </c>
      <c r="D3250" t="s">
        <v>2649</v>
      </c>
      <c r="F3250" t="s">
        <v>11824</v>
      </c>
      <c r="G3250" t="s">
        <v>11813</v>
      </c>
      <c r="H3250" t="str">
        <f>"01404 548050"</f>
        <v>01404 548050</v>
      </c>
    </row>
    <row r="3251" spans="1:8">
      <c r="A3251" t="s">
        <v>11809</v>
      </c>
      <c r="B3251" t="s">
        <v>11825</v>
      </c>
      <c r="D3251" t="s">
        <v>549</v>
      </c>
      <c r="F3251" t="s">
        <v>11826</v>
      </c>
      <c r="G3251" t="s">
        <v>11813</v>
      </c>
      <c r="H3251" t="str">
        <f>"01392 274126"</f>
        <v>01392 274126</v>
      </c>
    </row>
    <row r="3252" spans="1:8">
      <c r="A3252" t="s">
        <v>11809</v>
      </c>
      <c r="B3252" t="s">
        <v>11483</v>
      </c>
      <c r="D3252" t="s">
        <v>2653</v>
      </c>
      <c r="E3252" t="s">
        <v>309</v>
      </c>
      <c r="F3252" t="s">
        <v>11827</v>
      </c>
      <c r="G3252" t="s">
        <v>11813</v>
      </c>
      <c r="H3252" t="str">
        <f>"01395 272241 "</f>
        <v xml:space="preserve">01395 272241 </v>
      </c>
    </row>
    <row r="3253" spans="1:8">
      <c r="A3253" t="s">
        <v>11809</v>
      </c>
      <c r="B3253" t="s">
        <v>11828</v>
      </c>
      <c r="D3253" t="s">
        <v>2380</v>
      </c>
      <c r="E3253" t="s">
        <v>309</v>
      </c>
      <c r="F3253" t="s">
        <v>11829</v>
      </c>
      <c r="G3253" t="s">
        <v>11813</v>
      </c>
      <c r="H3253" t="str">
        <f>"01395 578206 "</f>
        <v xml:space="preserve">01395 578206 </v>
      </c>
    </row>
    <row r="3254" spans="1:8">
      <c r="A3254" t="s">
        <v>11809</v>
      </c>
      <c r="B3254" t="s">
        <v>11830</v>
      </c>
      <c r="C3254" t="s">
        <v>11831</v>
      </c>
      <c r="D3254" t="s">
        <v>8030</v>
      </c>
      <c r="F3254" t="s">
        <v>11832</v>
      </c>
      <c r="G3254" t="s">
        <v>11813</v>
      </c>
      <c r="H3254" t="str">
        <f>"01297 630700"</f>
        <v>01297 630700</v>
      </c>
    </row>
    <row r="3255" spans="1:8">
      <c r="A3255" t="s">
        <v>11809</v>
      </c>
      <c r="B3255" t="s">
        <v>11833</v>
      </c>
      <c r="D3255" t="s">
        <v>2658</v>
      </c>
      <c r="F3255" t="s">
        <v>11834</v>
      </c>
      <c r="G3255" t="s">
        <v>11813</v>
      </c>
      <c r="H3255" t="str">
        <f>"01297 626950"</f>
        <v>01297 626950</v>
      </c>
    </row>
    <row r="3256" spans="1:8">
      <c r="A3256" t="s">
        <v>11809</v>
      </c>
      <c r="B3256" t="s">
        <v>11835</v>
      </c>
      <c r="D3256" t="s">
        <v>5081</v>
      </c>
      <c r="F3256" t="s">
        <v>11836</v>
      </c>
      <c r="G3256" t="s">
        <v>11813</v>
      </c>
      <c r="H3256" t="str">
        <f>"01803 546180"</f>
        <v>01803 546180</v>
      </c>
    </row>
    <row r="3257" spans="1:8">
      <c r="A3257" t="s">
        <v>11837</v>
      </c>
      <c r="B3257" t="s">
        <v>11838</v>
      </c>
      <c r="D3257" t="s">
        <v>158</v>
      </c>
      <c r="E3257" t="s">
        <v>53</v>
      </c>
      <c r="F3257" t="s">
        <v>11839</v>
      </c>
      <c r="G3257" t="s">
        <v>11840</v>
      </c>
      <c r="H3257" t="str">
        <f>"01242 801748"</f>
        <v>01242 801748</v>
      </c>
    </row>
    <row r="3258" spans="1:8">
      <c r="A3258" t="s">
        <v>11841</v>
      </c>
      <c r="B3258" t="s">
        <v>11842</v>
      </c>
      <c r="D3258" t="s">
        <v>297</v>
      </c>
      <c r="E3258" t="s">
        <v>132</v>
      </c>
      <c r="F3258" t="s">
        <v>11843</v>
      </c>
      <c r="G3258" t="s">
        <v>11844</v>
      </c>
      <c r="H3258" t="str">
        <f>"0345 872 6666"</f>
        <v>0345 872 6666</v>
      </c>
    </row>
    <row r="3259" spans="1:8">
      <c r="A3259" t="s">
        <v>11841</v>
      </c>
      <c r="B3259" t="s">
        <v>11845</v>
      </c>
      <c r="D3259" t="s">
        <v>57</v>
      </c>
      <c r="F3259" t="s">
        <v>11846</v>
      </c>
      <c r="G3259" t="s">
        <v>11844</v>
      </c>
      <c r="H3259" t="str">
        <f>"0203 675 7601"</f>
        <v>0203 675 7601</v>
      </c>
    </row>
    <row r="3260" spans="1:8">
      <c r="A3260" t="s">
        <v>11847</v>
      </c>
      <c r="B3260" t="s">
        <v>11848</v>
      </c>
      <c r="D3260" t="s">
        <v>3094</v>
      </c>
      <c r="E3260" t="s">
        <v>178</v>
      </c>
      <c r="F3260" t="s">
        <v>11849</v>
      </c>
      <c r="G3260" t="s">
        <v>11850</v>
      </c>
      <c r="H3260" t="str">
        <f>"01495763333"</f>
        <v>01495763333</v>
      </c>
    </row>
    <row r="3261" spans="1:8">
      <c r="A3261" t="s">
        <v>11851</v>
      </c>
      <c r="B3261" t="s">
        <v>11852</v>
      </c>
      <c r="D3261" t="s">
        <v>3030</v>
      </c>
      <c r="E3261" t="s">
        <v>1363</v>
      </c>
      <c r="F3261" t="s">
        <v>11853</v>
      </c>
      <c r="G3261" t="s">
        <v>11854</v>
      </c>
      <c r="H3261" t="str">
        <f>"01639 896174"</f>
        <v>01639 896174</v>
      </c>
    </row>
    <row r="3262" spans="1:8">
      <c r="A3262" t="s">
        <v>11851</v>
      </c>
      <c r="B3262" t="s">
        <v>11855</v>
      </c>
      <c r="D3262" t="s">
        <v>1042</v>
      </c>
      <c r="E3262" t="s">
        <v>1363</v>
      </c>
      <c r="F3262" t="s">
        <v>11856</v>
      </c>
      <c r="G3262" t="s">
        <v>11857</v>
      </c>
      <c r="H3262" t="str">
        <f>"01656 253 333"</f>
        <v>01656 253 333</v>
      </c>
    </row>
    <row r="3263" spans="1:8">
      <c r="A3263" t="s">
        <v>11851</v>
      </c>
      <c r="B3263" t="s">
        <v>11859</v>
      </c>
      <c r="D3263" t="s">
        <v>11858</v>
      </c>
      <c r="F3263" t="s">
        <v>11860</v>
      </c>
      <c r="G3263" t="s">
        <v>11854</v>
      </c>
      <c r="H3263" t="str">
        <f>"01656 733265"</f>
        <v>01656 733265</v>
      </c>
    </row>
    <row r="3264" spans="1:8">
      <c r="A3264" t="s">
        <v>11851</v>
      </c>
      <c r="B3264" t="s">
        <v>11861</v>
      </c>
      <c r="D3264" t="s">
        <v>8809</v>
      </c>
      <c r="F3264" t="s">
        <v>11862</v>
      </c>
      <c r="G3264" t="s">
        <v>11854</v>
      </c>
      <c r="H3264" t="str">
        <f>"01443 853 180"</f>
        <v>01443 853 180</v>
      </c>
    </row>
    <row r="3265" spans="1:8">
      <c r="A3265" t="s">
        <v>11851</v>
      </c>
      <c r="B3265" t="s">
        <v>11863</v>
      </c>
      <c r="D3265" t="s">
        <v>10690</v>
      </c>
      <c r="F3265" t="s">
        <v>11864</v>
      </c>
      <c r="G3265" t="s">
        <v>11854</v>
      </c>
      <c r="H3265" t="str">
        <f>"01656 523322"</f>
        <v>01656 523322</v>
      </c>
    </row>
    <row r="3266" spans="1:8">
      <c r="A3266" t="s">
        <v>11865</v>
      </c>
      <c r="B3266" t="s">
        <v>11866</v>
      </c>
      <c r="D3266" t="s">
        <v>451</v>
      </c>
      <c r="E3266" t="s">
        <v>53</v>
      </c>
      <c r="F3266" t="s">
        <v>11867</v>
      </c>
      <c r="G3266" t="s">
        <v>11868</v>
      </c>
      <c r="H3266" t="str">
        <f>"01453847200"</f>
        <v>01453847200</v>
      </c>
    </row>
    <row r="3267" spans="1:8">
      <c r="A3267" t="s">
        <v>11865</v>
      </c>
      <c r="B3267" t="s">
        <v>11869</v>
      </c>
      <c r="D3267" t="s">
        <v>52</v>
      </c>
      <c r="E3267" t="s">
        <v>53</v>
      </c>
      <c r="F3267" t="s">
        <v>11870</v>
      </c>
      <c r="G3267" t="s">
        <v>11868</v>
      </c>
      <c r="H3267" t="str">
        <f>"01452 411601"</f>
        <v>01452 411601</v>
      </c>
    </row>
    <row r="3268" spans="1:8">
      <c r="A3268" t="s">
        <v>11871</v>
      </c>
      <c r="B3268" t="s">
        <v>11872</v>
      </c>
      <c r="C3268" t="s">
        <v>11873</v>
      </c>
      <c r="D3268" t="s">
        <v>5314</v>
      </c>
      <c r="E3268" t="s">
        <v>236</v>
      </c>
      <c r="F3268" t="s">
        <v>11874</v>
      </c>
      <c r="G3268" t="s">
        <v>11875</v>
      </c>
      <c r="H3268" t="str">
        <f>"01782 486700"</f>
        <v>01782 486700</v>
      </c>
    </row>
    <row r="3269" spans="1:8">
      <c r="A3269" t="s">
        <v>11876</v>
      </c>
      <c r="B3269" t="s">
        <v>11877</v>
      </c>
      <c r="D3269" t="s">
        <v>396</v>
      </c>
      <c r="E3269" t="s">
        <v>397</v>
      </c>
      <c r="F3269" t="s">
        <v>11878</v>
      </c>
      <c r="G3269" t="s">
        <v>11879</v>
      </c>
      <c r="H3269" t="str">
        <f>"01582 343453"</f>
        <v>01582 343453</v>
      </c>
    </row>
    <row r="3270" spans="1:8">
      <c r="A3270" t="s">
        <v>11880</v>
      </c>
      <c r="B3270" t="s">
        <v>11881</v>
      </c>
      <c r="D3270" t="s">
        <v>3924</v>
      </c>
      <c r="E3270" t="s">
        <v>1936</v>
      </c>
      <c r="F3270" t="s">
        <v>11882</v>
      </c>
      <c r="G3270" t="s">
        <v>11883</v>
      </c>
      <c r="H3270" t="str">
        <f>"01492863225"</f>
        <v>01492863225</v>
      </c>
    </row>
    <row r="3271" spans="1:8">
      <c r="A3271" t="s">
        <v>11880</v>
      </c>
      <c r="B3271" t="s">
        <v>11884</v>
      </c>
      <c r="D3271" t="s">
        <v>8625</v>
      </c>
      <c r="E3271" t="s">
        <v>4424</v>
      </c>
      <c r="F3271" t="s">
        <v>11885</v>
      </c>
      <c r="G3271" t="s">
        <v>11883</v>
      </c>
      <c r="H3271" t="str">
        <f>"01492 532275"</f>
        <v>01492 532275</v>
      </c>
    </row>
    <row r="3272" spans="1:8">
      <c r="A3272" t="s">
        <v>11880</v>
      </c>
      <c r="B3272" t="s">
        <v>11886</v>
      </c>
      <c r="D3272" t="s">
        <v>4424</v>
      </c>
      <c r="E3272" t="s">
        <v>1936</v>
      </c>
      <c r="F3272" t="s">
        <v>11887</v>
      </c>
      <c r="G3272" t="s">
        <v>11883</v>
      </c>
      <c r="H3272" t="str">
        <f>"01492 593201"</f>
        <v>01492 593201</v>
      </c>
    </row>
    <row r="3273" spans="1:8">
      <c r="A3273" t="s">
        <v>11880</v>
      </c>
      <c r="B3273" t="s">
        <v>11888</v>
      </c>
      <c r="D3273" t="s">
        <v>5645</v>
      </c>
      <c r="E3273" t="s">
        <v>1936</v>
      </c>
      <c r="F3273" t="s">
        <v>11889</v>
      </c>
      <c r="G3273" t="s">
        <v>11883</v>
      </c>
      <c r="H3273" t="str">
        <f>"01248 672414"</f>
        <v>01248 672414</v>
      </c>
    </row>
    <row r="3274" spans="1:8">
      <c r="A3274" t="s">
        <v>11880</v>
      </c>
      <c r="B3274" t="s">
        <v>11890</v>
      </c>
      <c r="D3274" t="s">
        <v>9399</v>
      </c>
      <c r="E3274" t="s">
        <v>1936</v>
      </c>
      <c r="F3274" t="s">
        <v>11891</v>
      </c>
      <c r="G3274" t="s">
        <v>11883</v>
      </c>
      <c r="H3274" t="str">
        <f>"01766 512011"</f>
        <v>01766 512011</v>
      </c>
    </row>
    <row r="3275" spans="1:8">
      <c r="A3275" t="s">
        <v>11892</v>
      </c>
      <c r="B3275" t="s">
        <v>11893</v>
      </c>
      <c r="C3275" t="s">
        <v>11894</v>
      </c>
      <c r="D3275" t="s">
        <v>5411</v>
      </c>
      <c r="F3275" t="s">
        <v>11895</v>
      </c>
      <c r="G3275" t="s">
        <v>11896</v>
      </c>
      <c r="H3275" t="str">
        <f>"01483 887766"</f>
        <v>01483 887766</v>
      </c>
    </row>
    <row r="3276" spans="1:8">
      <c r="A3276" t="s">
        <v>11892</v>
      </c>
      <c r="B3276" t="s">
        <v>11897</v>
      </c>
      <c r="D3276" t="s">
        <v>481</v>
      </c>
      <c r="E3276" t="s">
        <v>200</v>
      </c>
      <c r="F3276" t="s">
        <v>11898</v>
      </c>
      <c r="G3276" t="s">
        <v>11896</v>
      </c>
      <c r="H3276" t="str">
        <f>"01483 887766"</f>
        <v>01483 887766</v>
      </c>
    </row>
    <row r="3277" spans="1:8">
      <c r="A3277" t="s">
        <v>11892</v>
      </c>
      <c r="B3277" t="s">
        <v>11899</v>
      </c>
      <c r="D3277" t="s">
        <v>1800</v>
      </c>
      <c r="E3277" t="s">
        <v>200</v>
      </c>
      <c r="F3277" t="s">
        <v>11900</v>
      </c>
      <c r="G3277" t="s">
        <v>11896</v>
      </c>
      <c r="H3277" t="str">
        <f>"01932 576789"</f>
        <v>01932 576789</v>
      </c>
    </row>
    <row r="3278" spans="1:8">
      <c r="A3278" t="s">
        <v>11892</v>
      </c>
      <c r="B3278" t="s">
        <v>11901</v>
      </c>
      <c r="D3278" t="s">
        <v>1803</v>
      </c>
      <c r="E3278" t="s">
        <v>200</v>
      </c>
      <c r="F3278" t="s">
        <v>11902</v>
      </c>
      <c r="G3278" t="s">
        <v>11896</v>
      </c>
      <c r="H3278" t="str">
        <f>"01483 887766"</f>
        <v>01483 887766</v>
      </c>
    </row>
    <row r="3279" spans="1:8">
      <c r="A3279" t="s">
        <v>11892</v>
      </c>
      <c r="B3279" t="s">
        <v>11903</v>
      </c>
      <c r="D3279" t="s">
        <v>3633</v>
      </c>
      <c r="E3279" t="s">
        <v>200</v>
      </c>
      <c r="F3279" t="s">
        <v>11904</v>
      </c>
      <c r="G3279" t="s">
        <v>11896</v>
      </c>
      <c r="H3279" t="str">
        <f>"01483 887515"</f>
        <v>01483 887515</v>
      </c>
    </row>
    <row r="3280" spans="1:8">
      <c r="A3280" t="s">
        <v>11905</v>
      </c>
      <c r="B3280" t="s">
        <v>11906</v>
      </c>
      <c r="D3280" t="s">
        <v>2027</v>
      </c>
      <c r="E3280" t="s">
        <v>1412</v>
      </c>
      <c r="F3280" t="s">
        <v>9254</v>
      </c>
      <c r="G3280" t="s">
        <v>11907</v>
      </c>
      <c r="H3280" t="str">
        <f>"01284 701 131"</f>
        <v>01284 701 131</v>
      </c>
    </row>
    <row r="3281" spans="1:8">
      <c r="A3281" t="s">
        <v>11908</v>
      </c>
      <c r="B3281" t="s">
        <v>11909</v>
      </c>
      <c r="D3281" t="s">
        <v>57</v>
      </c>
      <c r="F3281" t="s">
        <v>11910</v>
      </c>
      <c r="G3281" t="s">
        <v>11911</v>
      </c>
      <c r="H3281" t="str">
        <f>"02076314141"</f>
        <v>02076314141</v>
      </c>
    </row>
    <row r="3282" spans="1:8">
      <c r="A3282" t="s">
        <v>11912</v>
      </c>
      <c r="B3282" t="s">
        <v>11913</v>
      </c>
      <c r="C3282" t="s">
        <v>2503</v>
      </c>
      <c r="D3282" t="s">
        <v>2504</v>
      </c>
      <c r="E3282" t="s">
        <v>520</v>
      </c>
      <c r="F3282" t="s">
        <v>2505</v>
      </c>
      <c r="G3282" t="s">
        <v>11914</v>
      </c>
      <c r="H3282" t="str">
        <f>"01323 888250"</f>
        <v>01323 888250</v>
      </c>
    </row>
    <row r="3283" spans="1:8">
      <c r="A3283" t="s">
        <v>11915</v>
      </c>
      <c r="B3283" t="s">
        <v>3159</v>
      </c>
      <c r="D3283" t="s">
        <v>1853</v>
      </c>
      <c r="F3283" t="s">
        <v>11916</v>
      </c>
      <c r="G3283" t="s">
        <v>11917</v>
      </c>
      <c r="H3283" t="str">
        <f>"01226 215215"</f>
        <v>01226 215215</v>
      </c>
    </row>
    <row r="3284" spans="1:8">
      <c r="A3284" t="s">
        <v>11915</v>
      </c>
      <c r="B3284" t="s">
        <v>11918</v>
      </c>
      <c r="D3284" t="s">
        <v>1853</v>
      </c>
      <c r="F3284" t="s">
        <v>8161</v>
      </c>
      <c r="G3284" t="s">
        <v>11917</v>
      </c>
      <c r="H3284" t="str">
        <f>"01226 211888"</f>
        <v>01226 211888</v>
      </c>
    </row>
    <row r="3285" spans="1:8">
      <c r="A3285" t="s">
        <v>11915</v>
      </c>
      <c r="B3285" t="s">
        <v>11919</v>
      </c>
      <c r="C3285" t="s">
        <v>8187</v>
      </c>
      <c r="D3285" t="s">
        <v>1024</v>
      </c>
      <c r="F3285" t="s">
        <v>8189</v>
      </c>
      <c r="G3285" t="s">
        <v>11917</v>
      </c>
      <c r="H3285" t="str">
        <f>"01226 762261"</f>
        <v>01226 762261</v>
      </c>
    </row>
    <row r="3286" spans="1:8">
      <c r="A3286" t="s">
        <v>11920</v>
      </c>
      <c r="B3286" t="s">
        <v>11921</v>
      </c>
      <c r="D3286" t="s">
        <v>57</v>
      </c>
      <c r="F3286" t="s">
        <v>11922</v>
      </c>
      <c r="G3286" t="s">
        <v>11923</v>
      </c>
      <c r="H3286" t="str">
        <f>"020 7925 8080"</f>
        <v>020 7925 8080</v>
      </c>
    </row>
    <row r="3287" spans="1:8">
      <c r="A3287" t="s">
        <v>11920</v>
      </c>
      <c r="B3287" t="s">
        <v>11924</v>
      </c>
      <c r="D3287" t="s">
        <v>3146</v>
      </c>
      <c r="F3287" t="s">
        <v>11925</v>
      </c>
      <c r="G3287" t="s">
        <v>11926</v>
      </c>
      <c r="H3287" t="str">
        <f>"01291630180"</f>
        <v>01291630180</v>
      </c>
    </row>
    <row r="3288" spans="1:8">
      <c r="A3288" t="s">
        <v>11920</v>
      </c>
      <c r="B3288" t="s">
        <v>11927</v>
      </c>
      <c r="D3288" t="s">
        <v>14</v>
      </c>
      <c r="F3288" t="s">
        <v>3375</v>
      </c>
      <c r="G3288" t="s">
        <v>11926</v>
      </c>
      <c r="H3288" t="str">
        <f>"02079258080"</f>
        <v>02079258080</v>
      </c>
    </row>
    <row r="3289" spans="1:8">
      <c r="A3289" t="s">
        <v>11928</v>
      </c>
      <c r="B3289" t="s">
        <v>11929</v>
      </c>
      <c r="D3289" t="s">
        <v>57</v>
      </c>
      <c r="F3289" t="s">
        <v>11930</v>
      </c>
      <c r="G3289" t="s">
        <v>11931</v>
      </c>
      <c r="H3289" t="str">
        <f>"02070639040"</f>
        <v>02070639040</v>
      </c>
    </row>
    <row r="3290" spans="1:8">
      <c r="A3290" t="s">
        <v>11932</v>
      </c>
      <c r="B3290" t="s">
        <v>11933</v>
      </c>
      <c r="D3290" t="s">
        <v>11934</v>
      </c>
      <c r="E3290" t="s">
        <v>292</v>
      </c>
      <c r="F3290" t="s">
        <v>11935</v>
      </c>
      <c r="G3290" t="s">
        <v>11936</v>
      </c>
      <c r="H3290" t="str">
        <f>"01507 522456"</f>
        <v>01507 522456</v>
      </c>
    </row>
    <row r="3291" spans="1:8">
      <c r="A3291" t="s">
        <v>11932</v>
      </c>
      <c r="B3291" t="s">
        <v>11937</v>
      </c>
      <c r="D3291" t="s">
        <v>11938</v>
      </c>
      <c r="E3291" t="s">
        <v>292</v>
      </c>
      <c r="F3291" t="s">
        <v>11939</v>
      </c>
      <c r="G3291" t="s">
        <v>11936</v>
      </c>
      <c r="H3291" t="str">
        <f>"01205 351114"</f>
        <v>01205 351114</v>
      </c>
    </row>
    <row r="3292" spans="1:8">
      <c r="A3292" t="s">
        <v>11932</v>
      </c>
      <c r="B3292" t="s">
        <v>11940</v>
      </c>
      <c r="D3292" t="s">
        <v>2094</v>
      </c>
      <c r="E3292" t="s">
        <v>292</v>
      </c>
      <c r="F3292" t="s">
        <v>11941</v>
      </c>
      <c r="G3292" t="s">
        <v>11936</v>
      </c>
      <c r="H3292" t="str">
        <f>"01529 411500"</f>
        <v>01529 411500</v>
      </c>
    </row>
    <row r="3293" spans="1:8">
      <c r="A3293" t="s">
        <v>11932</v>
      </c>
      <c r="B3293" t="s">
        <v>11942</v>
      </c>
      <c r="D3293" t="s">
        <v>2623</v>
      </c>
      <c r="E3293" t="s">
        <v>292</v>
      </c>
      <c r="F3293" t="s">
        <v>11943</v>
      </c>
      <c r="G3293" t="s">
        <v>11936</v>
      </c>
      <c r="H3293" t="str">
        <f>"01775 725664"</f>
        <v>01775 725664</v>
      </c>
    </row>
    <row r="3294" spans="1:8">
      <c r="A3294" t="s">
        <v>11932</v>
      </c>
      <c r="B3294" t="s">
        <v>11944</v>
      </c>
      <c r="D3294" t="s">
        <v>7872</v>
      </c>
      <c r="E3294" t="s">
        <v>292</v>
      </c>
      <c r="F3294" t="s">
        <v>11945</v>
      </c>
      <c r="G3294" t="s">
        <v>11936</v>
      </c>
      <c r="H3294" t="str">
        <f>"01476 591550"</f>
        <v>01476 591550</v>
      </c>
    </row>
    <row r="3295" spans="1:8">
      <c r="A3295" t="s">
        <v>11932</v>
      </c>
      <c r="B3295" t="s">
        <v>11946</v>
      </c>
      <c r="D3295" t="s">
        <v>3588</v>
      </c>
      <c r="E3295" t="s">
        <v>410</v>
      </c>
      <c r="F3295" t="s">
        <v>11947</v>
      </c>
      <c r="G3295" t="s">
        <v>11936</v>
      </c>
      <c r="H3295" t="str">
        <f>"01636 673731"</f>
        <v>01636 673731</v>
      </c>
    </row>
    <row r="3296" spans="1:8">
      <c r="A3296" t="s">
        <v>11932</v>
      </c>
      <c r="B3296" t="s">
        <v>11948</v>
      </c>
      <c r="D3296" t="s">
        <v>372</v>
      </c>
      <c r="E3296" t="s">
        <v>292</v>
      </c>
      <c r="F3296" t="s">
        <v>11949</v>
      </c>
      <c r="G3296" t="s">
        <v>11936</v>
      </c>
      <c r="H3296" t="str">
        <f>"01780 764145"</f>
        <v>01780 764145</v>
      </c>
    </row>
    <row r="3297" spans="1:8">
      <c r="A3297" t="s">
        <v>11932</v>
      </c>
      <c r="B3297" t="s">
        <v>11950</v>
      </c>
      <c r="D3297" t="s">
        <v>291</v>
      </c>
      <c r="E3297" t="s">
        <v>292</v>
      </c>
      <c r="F3297" t="s">
        <v>11951</v>
      </c>
      <c r="G3297" t="s">
        <v>11936</v>
      </c>
      <c r="H3297" t="str">
        <f>"01522 541181"</f>
        <v>01522 541181</v>
      </c>
    </row>
    <row r="3298" spans="1:8">
      <c r="A3298" t="s">
        <v>11932</v>
      </c>
      <c r="B3298" t="s">
        <v>6873</v>
      </c>
      <c r="D3298" t="s">
        <v>7919</v>
      </c>
      <c r="F3298" t="s">
        <v>11952</v>
      </c>
      <c r="G3298" t="s">
        <v>11953</v>
      </c>
      <c r="H3298" t="str">
        <f>"01778 423376"</f>
        <v>01778 423376</v>
      </c>
    </row>
    <row r="3299" spans="1:8">
      <c r="A3299" t="s">
        <v>11932</v>
      </c>
      <c r="B3299" t="s">
        <v>11954</v>
      </c>
      <c r="D3299" t="s">
        <v>10374</v>
      </c>
      <c r="E3299" t="s">
        <v>368</v>
      </c>
      <c r="F3299" t="s">
        <v>10376</v>
      </c>
      <c r="G3299" t="s">
        <v>11955</v>
      </c>
      <c r="H3299" t="str">
        <f>"01778 341494"</f>
        <v>01778 341494</v>
      </c>
    </row>
    <row r="3300" spans="1:8">
      <c r="A3300" t="s">
        <v>11956</v>
      </c>
      <c r="B3300" t="s">
        <v>11957</v>
      </c>
      <c r="D3300" t="s">
        <v>319</v>
      </c>
      <c r="E3300" t="s">
        <v>315</v>
      </c>
      <c r="F3300" t="s">
        <v>11958</v>
      </c>
      <c r="G3300" t="s">
        <v>11959</v>
      </c>
      <c r="H3300" t="str">
        <f>"01270 254064"</f>
        <v>01270 254064</v>
      </c>
    </row>
    <row r="3301" spans="1:8">
      <c r="A3301" t="s">
        <v>11956</v>
      </c>
      <c r="B3301" t="s">
        <v>11960</v>
      </c>
      <c r="D3301" t="s">
        <v>5314</v>
      </c>
      <c r="F3301" t="s">
        <v>4029</v>
      </c>
      <c r="G3301" t="s">
        <v>11961</v>
      </c>
      <c r="H3301" t="str">
        <f>"01782651144"</f>
        <v>01782651144</v>
      </c>
    </row>
    <row r="3302" spans="1:8">
      <c r="A3302" t="s">
        <v>11962</v>
      </c>
      <c r="B3302" t="s">
        <v>11963</v>
      </c>
      <c r="D3302" t="s">
        <v>1117</v>
      </c>
      <c r="E3302" t="s">
        <v>315</v>
      </c>
      <c r="F3302" t="s">
        <v>11964</v>
      </c>
      <c r="G3302" t="s">
        <v>11965</v>
      </c>
      <c r="H3302" t="str">
        <f>"01616969786"</f>
        <v>01616969786</v>
      </c>
    </row>
    <row r="3303" spans="1:8">
      <c r="A3303" t="s">
        <v>11966</v>
      </c>
      <c r="B3303" t="s">
        <v>11967</v>
      </c>
      <c r="C3303" t="s">
        <v>11968</v>
      </c>
      <c r="D3303" t="s">
        <v>2027</v>
      </c>
      <c r="E3303" t="s">
        <v>1412</v>
      </c>
      <c r="F3303" t="s">
        <v>11969</v>
      </c>
      <c r="G3303" t="s">
        <v>11970</v>
      </c>
      <c r="H3303" t="str">
        <f>"01284767766"</f>
        <v>01284767766</v>
      </c>
    </row>
    <row r="3304" spans="1:8">
      <c r="A3304" t="s">
        <v>11966</v>
      </c>
      <c r="B3304" t="s">
        <v>9268</v>
      </c>
      <c r="D3304" t="s">
        <v>8833</v>
      </c>
      <c r="E3304" t="s">
        <v>1372</v>
      </c>
      <c r="F3304" t="s">
        <v>11971</v>
      </c>
      <c r="G3304" t="s">
        <v>11972</v>
      </c>
      <c r="H3304" t="str">
        <f>"01728 724111"</f>
        <v>01728 724111</v>
      </c>
    </row>
    <row r="3305" spans="1:8">
      <c r="A3305" t="s">
        <v>11966</v>
      </c>
      <c r="B3305" t="s">
        <v>11973</v>
      </c>
      <c r="D3305" t="s">
        <v>5452</v>
      </c>
      <c r="F3305" t="s">
        <v>11974</v>
      </c>
      <c r="G3305" t="s">
        <v>11972</v>
      </c>
      <c r="H3305" t="str">
        <f>"01986 873636"</f>
        <v>01986 873636</v>
      </c>
    </row>
    <row r="3306" spans="1:8">
      <c r="A3306" t="s">
        <v>11975</v>
      </c>
      <c r="B3306" t="s">
        <v>11976</v>
      </c>
      <c r="C3306" t="s">
        <v>362</v>
      </c>
      <c r="D3306" t="s">
        <v>363</v>
      </c>
      <c r="E3306" t="s">
        <v>132</v>
      </c>
      <c r="F3306" t="s">
        <v>11977</v>
      </c>
      <c r="G3306" t="s">
        <v>11978</v>
      </c>
      <c r="H3306" t="str">
        <f>"01282695400"</f>
        <v>01282695400</v>
      </c>
    </row>
    <row r="3307" spans="1:8">
      <c r="A3307" t="s">
        <v>11975</v>
      </c>
      <c r="B3307" t="s">
        <v>11979</v>
      </c>
      <c r="C3307" t="s">
        <v>11980</v>
      </c>
      <c r="D3307" t="s">
        <v>6171</v>
      </c>
      <c r="F3307" t="s">
        <v>11981</v>
      </c>
      <c r="G3307" t="s">
        <v>11978</v>
      </c>
      <c r="H3307" t="str">
        <f>"01282695400"</f>
        <v>01282695400</v>
      </c>
    </row>
    <row r="3308" spans="1:8">
      <c r="A3308" t="s">
        <v>11982</v>
      </c>
      <c r="B3308" t="s">
        <v>11983</v>
      </c>
      <c r="D3308" t="s">
        <v>8418</v>
      </c>
      <c r="E3308" t="s">
        <v>1200</v>
      </c>
      <c r="F3308" t="s">
        <v>11984</v>
      </c>
      <c r="G3308" t="s">
        <v>11985</v>
      </c>
      <c r="H3308" t="str">
        <f>"02476 745000"</f>
        <v>02476 745000</v>
      </c>
    </row>
    <row r="3309" spans="1:8">
      <c r="A3309" t="s">
        <v>11982</v>
      </c>
      <c r="B3309" t="s">
        <v>11986</v>
      </c>
      <c r="D3309" t="s">
        <v>4291</v>
      </c>
      <c r="E3309" t="s">
        <v>775</v>
      </c>
      <c r="F3309" t="s">
        <v>11987</v>
      </c>
      <c r="G3309" t="s">
        <v>11988</v>
      </c>
      <c r="H3309" t="str">
        <f>"01455 637030"</f>
        <v>01455 637030</v>
      </c>
    </row>
    <row r="3310" spans="1:8">
      <c r="A3310" t="s">
        <v>11989</v>
      </c>
      <c r="B3310" t="s">
        <v>11990</v>
      </c>
      <c r="C3310" t="s">
        <v>11991</v>
      </c>
      <c r="D3310" t="s">
        <v>291</v>
      </c>
      <c r="E3310" t="s">
        <v>292</v>
      </c>
      <c r="F3310" t="s">
        <v>11992</v>
      </c>
      <c r="G3310" t="s">
        <v>11993</v>
      </c>
      <c r="H3310" t="str">
        <f>"01522577088"</f>
        <v>01522577088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11168_LenderPanelFile  Approved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Hadley</dc:creator>
  <cp:lastModifiedBy>Samantha Hadley</cp:lastModifiedBy>
  <cp:lastPrinted>2026-08-19T08:55:20Z</cp:lastPrinted>
  <dcterms:created xsi:type="dcterms:W3CDTF">2026-08-19T08:55:53Z</dcterms:created>
  <dcterms:modified xsi:type="dcterms:W3CDTF">2026-08-19T08:55:53Z</dcterms:modified>
</cp:coreProperties>
</file>