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CE41CF40-D49B-4C04-B430-8D1CF8E42A44}" xr6:coauthVersionLast="47" xr6:coauthVersionMax="47" xr10:uidLastSave="{00000000-0000-0000-0000-000000000000}"/>
  <workbookProtection workbookAlgorithmName="SHA-512" workbookHashValue="xR8iIFPpRHIXQyK8gPyO1LBKZ1xc8oj/c4q0ErUN+egWLKfOpVaITJn2SayEKr0rS+8WIdLvqMkfipSSvR5agQ==" workbookSaltValue="4b7u+HJO0eY049V1s17TIw==" workbookSpinCount="100000" lockStructure="1"/>
  <bookViews>
    <workbookView xWindow="-108" yWindow="-108" windowWidth="23256" windowHeight="13896"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<sst xmlns="http://schemas.openxmlformats.org/spreadsheetml/2006/main" count="359" uniqueCount="221">
  <si>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</si>
  <si>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</si>
  <si>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</si>
  <si>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</si>
  <si>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</si>
  <si>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</si>
  <si>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</si>
  <si>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</si>
  <si>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</si>
  <si>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</si>
  <si>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</si>
  <si>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</si>
  <si>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</si>
  <si>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</si>
  <si>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</si>
  <si>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</si>
  <si>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</si>
  <si>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</si>
  <si>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</si>
  <si>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</si>
  <si>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</si>
  <si>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</si>
  <si>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</si>
  <si>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</si>
  <si>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</si>
  <si>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</si>
  <si>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</si>
  <si>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</si>
  <si>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</si>
  <si>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</si>
  <si>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</si>
  <si>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</si>
  <si>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</si>
  <si>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</si>
  <si>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</si>
  <si>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</si>
  <si>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</si>
  <si>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</si>
  <si>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</si>
  <si>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</si>
  <si>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</si>
  <si>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</si>
  <si>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</si>
  <si>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</si>
  <si>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</si>
  <si>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</si>
  <si>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</si>
  <si>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</si>
  <si>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</si>
  <si>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</si>
  <si>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</si>
  <si>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</si>
  <si>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</si>
  <si>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</si>
  <si>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</si>
  <si>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</si>
  <si>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</si>
  <si>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</si>
  <si>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</si>
  <si>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</si>
  <si>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</si>
  <si>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</si>
  <si>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</si>
  <si>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</si>
  <si>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</si>
  <si>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</si>
  <si>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</si>
  <si>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</si>
  <si>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</si>
  <si>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</si>
  <si>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</si>
  <si>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</si>
  <si>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</si>
  <si>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</si>
  <si>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</si>
  <si>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</si>
  <si>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</si>
  <si>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</si>
  <si>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</si>
  <si>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</si>
  <si>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</si>
  <si>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</si>
  <si>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</si>
  <si>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</si>
  <si>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</si>
  <si>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</si>
  <si>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</si>
  <si>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</si>
  <si>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</si>
  <si>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</si>
  <si>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</si>
  <si>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</si>
  <si>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</si>
  <si>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</si>
  <si>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</si>
  <si>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</si>
  <si>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</si>
  <si>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</si>
  <si>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</si>
  <si>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</si>
  <si>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</si>
  <si>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</si>
  <si>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</si>
  <si>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</si>
  <si>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</si>
  <si>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</si>
  <si>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</si>
  <si>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</si>
  <si>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</si>
  <si>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</si>
  <si>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</si>
  <si>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</si>
  <si>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</si>
  <si>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</si>
  <si>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</si>
  <si>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</si>
  <si>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</si>
  <si>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</si>
  <si>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</si>
  <si>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</si>
  <si>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</si>
  <si>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</si>
  <si>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</si>
  <si>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</si>
  <si>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</si>
  <si>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</si>
  <si>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</si>
  <si>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</si>
  <si>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</si>
  <si>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</si>
  <si>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</si>
  <si>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</si>
  <si>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</si>
  <si>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</si>
  <si>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</si>
  <si>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</si>
  <si>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</si>
  <si>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</si>
  <si>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</si>
  <si>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</si>
  <si>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</si>
  <si>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</si>
  <si>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</si>
  <si>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</si>
  <si>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</si>
  <si>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</si>
  <si>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</si>
  <si>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</si>
  <si>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</si>
  <si>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</si>
  <si>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</si>
  <si>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</si>
  <si>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</si>
  <si>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</si>
  <si>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</si>
  <si>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</si>
  <si>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</si>
  <si>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</si>
  <si>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</si>
  <si>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</si>
  <si>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</si>
  <si>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</si>
  <si>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</si>
  <si>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</si>
  <si>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</si>
  <si>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</si>
  <si>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</si>
  <si>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</si>
  <si>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</si>
  <si>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</si>
  <si>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</si>
  <si>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</si>
  <si>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</si>
  <si>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</si>
  <si>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</si>
  <si>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</si>
  <si>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</si>
  <si>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</si>
  <si>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</si>
  <si>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</si>
  <si>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</si>
  <si>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</si>
  <si>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</si>
  <si>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</si>
  <si>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</si>
  <si>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</si>
  <si>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</si>
  <si>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</si>
  <si>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</si>
  <si>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</si>
  <si>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</si>
  <si>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</si>
  <si>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</si>
  <si>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</si>
  <si>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</si>
  <si>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</si>
  <si>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</si>
  <si>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</si>
  <si>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</si>
  <si>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</si>
  <si>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</si>
  <si>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</si>
  <si>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</si>
  <si>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</si>
  <si>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</si>
  <si>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</si>
  <si>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</si>
  <si>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</si>
  <si>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</si>
  <si>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</si>
  <si>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</si>
  <si>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</si>
  <si>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</si>
  <si>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13260 2.64% Expat Residential Two Year Discount</t>
  </si>
  <si>
    <t>13261 2.09% Expat Resi Two Year Discount</t>
  </si>
  <si>
    <t>13262 2.44% 2 Year Discount Interest Only</t>
  </si>
  <si>
    <t>13263 2.79% Two Year Discount Expat Resi</t>
  </si>
  <si>
    <t>13264 2.54% Two Year Discount Residential</t>
  </si>
  <si>
    <t>13265 2.45% Two Year Discount Residential</t>
  </si>
  <si>
    <t>13266 2.10% Two Year Discount Residential</t>
  </si>
  <si>
    <t>External Version 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</si>
</sst>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160020</xdr:rowOff>
        </xdr:from>
        <xdr:to>
          <xdr:col>10</xdr:col>
          <xdr:colOff>213360</xdr:colOff>
          <xdr:row>3</xdr:row>
          <xdr:rowOff>60960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13" tableType="queryTable" totalsRowShown="0">
  <autoFilter ref="A1:H13"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4.4" x14ac:dyDescent="0.3"/>
  <cols>
    <col min="1" max="1" width="6.33203125" customWidth="1"/>
    <col min="2" max="2" width="10.44140625" customWidth="1"/>
    <col min="3" max="3" width="11.109375" customWidth="1"/>
    <col min="4" max="4" width="10.6640625" bestFit="1" customWidth="1"/>
    <col min="5" max="5" width="4" customWidth="1"/>
    <col min="6" max="6" width="13.88671875" bestFit="1" customWidth="1"/>
    <col min="7" max="7" width="8.33203125" customWidth="1"/>
    <col min="8" max="8" width="13.88671875" bestFit="1" customWidth="1"/>
    <col min="10" max="10" width="13.88671875" bestFit="1" customWidth="1"/>
    <col min="12" max="12" width="13.88671875" bestFit="1" customWidth="1"/>
  </cols>
  <sheetData>
    <row r="1" spans="1:12" ht="16.2" thickBot="1" x14ac:dyDescent="0.35">
      <c r="A1" s="78" t="s">
        <v>137</v>
      </c>
      <c r="B1" s="130">
        <f ca="1">TODAY()</f>
        <v>46126</v>
      </c>
      <c r="C1" s="131"/>
    </row>
    <row r="2" spans="1:12" x14ac:dyDescent="0.3">
      <c r="A2" t="s">
        <v>220</v>
      </c>
    </row>
    <row r="3" spans="1:12" ht="18" x14ac:dyDescent="0.35">
      <c r="A3" s="79" t="s">
        <v>47</v>
      </c>
    </row>
    <row r="4" spans="1:12" x14ac:dyDescent="0.3">
      <c r="F4" s="86" t="s">
        <v>0</v>
      </c>
      <c r="H4" s="86" t="s">
        <v>1</v>
      </c>
      <c r="J4" s="86" t="s">
        <v>196</v>
      </c>
      <c r="L4" s="86" t="s">
        <v>197</v>
      </c>
    </row>
    <row r="5" spans="1:12" x14ac:dyDescent="0.3">
      <c r="F5" s="86"/>
      <c r="H5" s="86"/>
      <c r="J5" s="86"/>
      <c r="L5" s="86"/>
    </row>
    <row r="6" spans="1:12" x14ac:dyDescent="0.3">
      <c r="A6" s="84" t="s">
        <v>190</v>
      </c>
      <c r="C6" s="98"/>
      <c r="D6" s="99"/>
      <c r="E6" s="100"/>
      <c r="F6" s="23">
        <v>0</v>
      </c>
      <c r="G6" s="101"/>
      <c r="H6" s="24">
        <v>0</v>
      </c>
      <c r="J6" s="23">
        <v>0</v>
      </c>
      <c r="L6" s="23">
        <v>0</v>
      </c>
    </row>
    <row r="7" spans="1:12" x14ac:dyDescent="0.3">
      <c r="A7" s="84"/>
      <c r="C7" s="98"/>
      <c r="D7" s="99"/>
      <c r="E7" s="100"/>
      <c r="F7" s="125"/>
      <c r="G7" s="101"/>
      <c r="H7" s="126"/>
      <c r="J7" s="125"/>
      <c r="L7" s="125"/>
    </row>
    <row r="8" spans="1:12" x14ac:dyDescent="0.3">
      <c r="A8" s="84" t="s">
        <v>207</v>
      </c>
      <c r="C8" s="105"/>
      <c r="D8" s="105"/>
      <c r="E8" s="89"/>
      <c r="F8" s="23">
        <v>0</v>
      </c>
      <c r="G8" s="101"/>
      <c r="H8" s="23">
        <v>0</v>
      </c>
      <c r="J8" s="23">
        <v>0</v>
      </c>
      <c r="L8" s="23">
        <v>0</v>
      </c>
    </row>
    <row r="9" spans="1:12" x14ac:dyDescent="0.3">
      <c r="A9" s="84"/>
      <c r="E9" s="103"/>
      <c r="F9" s="104"/>
      <c r="G9" s="102"/>
      <c r="H9" s="104"/>
      <c r="J9" s="104"/>
      <c r="L9" s="104"/>
    </row>
    <row r="10" spans="1:12" x14ac:dyDescent="0.3">
      <c r="A10" s="84" t="s">
        <v>189</v>
      </c>
      <c r="C10" s="105"/>
      <c r="D10" s="105"/>
      <c r="E10" s="89"/>
      <c r="F10" s="24">
        <v>0</v>
      </c>
      <c r="G10" s="101"/>
      <c r="H10" s="24">
        <v>0</v>
      </c>
      <c r="J10" s="24">
        <v>0</v>
      </c>
      <c r="L10" s="24">
        <v>0</v>
      </c>
    </row>
    <row r="11" spans="1:12" ht="15" thickBot="1" x14ac:dyDescent="0.35">
      <c r="A11" s="84"/>
      <c r="C11" s="105"/>
      <c r="D11" s="105"/>
      <c r="E11" s="45"/>
      <c r="F11" s="101"/>
      <c r="G11" s="101"/>
      <c r="H11" s="101"/>
      <c r="J11" s="101"/>
      <c r="L11" s="101"/>
    </row>
    <row r="12" spans="1:12" ht="15" thickBot="1" x14ac:dyDescent="0.35">
      <c r="A12" s="84" t="s">
        <v>48</v>
      </c>
      <c r="C12" s="105"/>
      <c r="D12" s="105"/>
      <c r="E12" s="45"/>
      <c r="F12" s="25">
        <f>SUM(F6+F8+F10)</f>
        <v>0</v>
      </c>
      <c r="G12" s="101"/>
      <c r="H12" s="25">
        <f>SUM(H6+H8+H10)</f>
        <v>0</v>
      </c>
      <c r="J12" s="25">
        <f>SUM(J6+J8+J10)</f>
        <v>0</v>
      </c>
      <c r="L12" s="25">
        <f>SUM(L6+L8+L10)</f>
        <v>0</v>
      </c>
    </row>
    <row r="13" spans="1:12" ht="15" thickBot="1" x14ac:dyDescent="0.35">
      <c r="A13" s="84"/>
      <c r="C13" s="105"/>
      <c r="D13" s="105"/>
      <c r="E13" s="45"/>
      <c r="F13" s="101"/>
      <c r="G13" s="101"/>
      <c r="H13" s="101"/>
      <c r="J13" s="101"/>
      <c r="L13" s="101"/>
    </row>
    <row r="14" spans="1:12" ht="16.2" thickBot="1" x14ac:dyDescent="0.35">
      <c r="A14" s="106" t="s">
        <v>193</v>
      </c>
      <c r="C14" s="105"/>
      <c r="D14" s="105"/>
      <c r="E14" s="89"/>
      <c r="F14" s="25">
        <f>SUM('Income Calculator'!B25)</f>
        <v>0</v>
      </c>
      <c r="G14" s="101"/>
      <c r="H14" s="25">
        <f>SUM('Income Calculator'!E25)</f>
        <v>0</v>
      </c>
      <c r="J14" s="25">
        <f>SUM('Income Calculator'!G25)</f>
        <v>0</v>
      </c>
      <c r="L14" s="25">
        <f>SUM('Income Calculator'!I25)</f>
        <v>0</v>
      </c>
    </row>
    <row r="15" spans="1:12" x14ac:dyDescent="0.3">
      <c r="A15" s="84"/>
      <c r="C15" s="105"/>
      <c r="D15" s="105"/>
      <c r="E15" s="89"/>
      <c r="F15" s="101"/>
      <c r="G15" s="101"/>
      <c r="H15" s="101"/>
    </row>
    <row r="16" spans="1:12" ht="15" thickBot="1" x14ac:dyDescent="0.35"/>
    <row r="17" spans="1:10" ht="15" thickBot="1" x14ac:dyDescent="0.35">
      <c r="A17" s="84" t="s">
        <v>49</v>
      </c>
      <c r="F17" s="27" t="s">
        <v>14</v>
      </c>
      <c r="H17" s="107" t="s">
        <v>14</v>
      </c>
      <c r="I17" s="127" t="s">
        <v>176</v>
      </c>
      <c r="J17" s="128"/>
    </row>
    <row r="18" spans="1:10" x14ac:dyDescent="0.3">
      <c r="H18" s="107" t="s">
        <v>15</v>
      </c>
      <c r="I18" s="127" t="s">
        <v>177</v>
      </c>
      <c r="J18" s="128"/>
    </row>
    <row r="19" spans="1:10" x14ac:dyDescent="0.3">
      <c r="A19" s="84"/>
      <c r="H19" s="107" t="s">
        <v>16</v>
      </c>
      <c r="I19" s="127" t="s">
        <v>178</v>
      </c>
      <c r="J19" s="128"/>
    </row>
    <row r="20" spans="1:10" x14ac:dyDescent="0.3">
      <c r="H20" s="107" t="s">
        <v>17</v>
      </c>
      <c r="I20" s="127" t="s">
        <v>179</v>
      </c>
      <c r="J20" s="128"/>
    </row>
    <row r="21" spans="1:10" x14ac:dyDescent="0.3">
      <c r="H21" s="107" t="s">
        <v>18</v>
      </c>
      <c r="I21" s="127" t="s">
        <v>180</v>
      </c>
      <c r="J21" s="128"/>
    </row>
    <row r="22" spans="1:10" x14ac:dyDescent="0.3">
      <c r="H22" s="107" t="s">
        <v>19</v>
      </c>
      <c r="I22" s="127" t="s">
        <v>181</v>
      </c>
      <c r="J22" s="128"/>
    </row>
    <row r="23" spans="1:10" x14ac:dyDescent="0.3">
      <c r="H23" s="107" t="s">
        <v>20</v>
      </c>
      <c r="I23" s="127" t="s">
        <v>182</v>
      </c>
      <c r="J23" s="128"/>
    </row>
    <row r="24" spans="1:10" x14ac:dyDescent="0.3">
      <c r="H24" s="8" t="s">
        <v>183</v>
      </c>
      <c r="I24" s="129" t="s">
        <v>184</v>
      </c>
      <c r="J24" s="128"/>
    </row>
    <row r="25" spans="1:10" x14ac:dyDescent="0.3">
      <c r="H25" s="8" t="s">
        <v>185</v>
      </c>
      <c r="I25" s="129" t="s">
        <v>186</v>
      </c>
      <c r="J25" s="128"/>
    </row>
  </sheetData>
  <sheetProtection algorithmName="SHA-512" hashValue="e03AR7dH3qwY85HQawORPrc8xwJsI/9zOqvAoulan47wrVUVmeSglxD3rtRzQEvp7H4vv/LMQWfCBvEHrkp/mw==" saltValue="7YALZhvCu1CcaB/cMWWCMw=="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4.4" x14ac:dyDescent="0.3"/>
  <sheetData>
    <row r="1" spans="1:2" x14ac:dyDescent="0.3">
      <c r="A1" t="s">
        <v>14</v>
      </c>
      <c r="B1" t="s">
        <v>14</v>
      </c>
    </row>
    <row r="2" spans="1:2" x14ac:dyDescent="0.3">
      <c r="A2" t="s">
        <v>15</v>
      </c>
      <c r="B2" t="s">
        <v>15</v>
      </c>
    </row>
    <row r="3" spans="1:2" x14ac:dyDescent="0.3">
      <c r="B3" t="s">
        <v>16</v>
      </c>
    </row>
    <row r="4" spans="1:2" x14ac:dyDescent="0.3">
      <c r="B4" t="s">
        <v>17</v>
      </c>
    </row>
    <row r="5" spans="1:2" x14ac:dyDescent="0.3">
      <c r="B5" t="s">
        <v>18</v>
      </c>
    </row>
    <row r="6" spans="1:2" x14ac:dyDescent="0.3">
      <c r="B6" t="s">
        <v>19</v>
      </c>
    </row>
    <row r="7" spans="1:2" x14ac:dyDescent="0.3">
      <c r="B7" t="s">
        <v>20</v>
      </c>
    </row>
    <row r="8" spans="1:2" x14ac:dyDescent="0.3">
      <c r="B8" t="s">
        <v>183</v>
      </c>
    </row>
    <row r="9" spans="1:2" x14ac:dyDescent="0.3">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3"/>
  <sheetViews>
    <sheetView workbookViewId="0">
      <selection activeCell="A2" sqref="A2"/>
    </sheetView>
  </sheetViews>
  <sheetFormatPr defaultRowHeight="14.4" x14ac:dyDescent="0.3"/>
  <cols>
    <col min="1" max="1" width="53.33203125" bestFit="1" customWidth="1"/>
    <col min="2" max="2" width="11.77734375" bestFit="1" customWidth="1"/>
    <col min="3" max="3" width="11.109375" bestFit="1" customWidth="1"/>
    <col min="4" max="4" width="14" bestFit="1" customWidth="1"/>
    <col min="5" max="5" width="16" bestFit="1" customWidth="1"/>
    <col min="6" max="6" width="14.77734375" bestFit="1" customWidth="1"/>
    <col min="7" max="7" width="11.5546875" bestFit="1" customWidth="1"/>
    <col min="8" max="8" width="17.6640625" bestFit="1" customWidth="1"/>
  </cols>
  <sheetData>
    <row r="1" spans="1:8" x14ac:dyDescent="0.3">
      <c r="A1" t="s">
        <v>140</v>
      </c>
      <c r="B1" t="s">
        <v>141</v>
      </c>
      <c r="C1" t="s">
        <v>142</v>
      </c>
      <c r="D1" t="s">
        <v>143</v>
      </c>
      <c r="E1" t="s">
        <v>144</v>
      </c>
      <c r="F1" t="s">
        <v>145</v>
      </c>
      <c r="G1" t="s">
        <v>146</v>
      </c>
      <c r="H1" t="s">
        <v>147</v>
      </c>
    </row>
    <row r="2" spans="1:8" x14ac:dyDescent="0.3">
      <c r="A2" t="s">
        <v>208</v>
      </c>
      <c r="B2">
        <v>8.09</v>
      </c>
      <c r="C2">
        <v>5.44</v>
      </c>
      <c r="D2">
        <v>8.1300000000000008</v>
      </c>
      <c r="E2" t="s">
        <v>150</v>
      </c>
      <c r="F2" t="s">
        <v>148</v>
      </c>
      <c r="G2" t="s">
        <v>150</v>
      </c>
      <c r="H2" t="s">
        <v>175</v>
      </c>
    </row>
    <row r="3" spans="1:8" x14ac:dyDescent="0.3">
      <c r="A3" t="s">
        <v>209</v>
      </c>
      <c r="B3">
        <v>8.09</v>
      </c>
      <c r="C3">
        <v>6.25</v>
      </c>
      <c r="D3">
        <v>8.1300000000000008</v>
      </c>
      <c r="E3" t="s">
        <v>150</v>
      </c>
      <c r="F3" t="s">
        <v>148</v>
      </c>
      <c r="G3" t="s">
        <v>150</v>
      </c>
      <c r="H3" t="s">
        <v>175</v>
      </c>
    </row>
    <row r="4" spans="1:8" x14ac:dyDescent="0.3">
      <c r="A4" t="s">
        <v>211</v>
      </c>
      <c r="B4">
        <v>8.09</v>
      </c>
      <c r="C4">
        <v>5.54</v>
      </c>
      <c r="D4">
        <v>8.1300000000000008</v>
      </c>
      <c r="E4" t="s">
        <v>150</v>
      </c>
      <c r="F4" t="s">
        <v>148</v>
      </c>
      <c r="G4" t="s">
        <v>150</v>
      </c>
      <c r="H4" t="s">
        <v>175</v>
      </c>
    </row>
    <row r="5" spans="1:8" x14ac:dyDescent="0.3">
      <c r="A5" t="s">
        <v>212</v>
      </c>
      <c r="B5">
        <v>8.09</v>
      </c>
      <c r="C5">
        <v>6.35</v>
      </c>
      <c r="D5">
        <v>8.1300000000000008</v>
      </c>
      <c r="E5" t="s">
        <v>150</v>
      </c>
      <c r="F5" t="s">
        <v>148</v>
      </c>
      <c r="G5" t="s">
        <v>150</v>
      </c>
      <c r="H5" t="s">
        <v>175</v>
      </c>
    </row>
    <row r="6" spans="1:8" x14ac:dyDescent="0.3">
      <c r="A6" t="s">
        <v>213</v>
      </c>
      <c r="B6">
        <v>8.09</v>
      </c>
      <c r="C6">
        <v>5.45</v>
      </c>
      <c r="D6">
        <v>8.1300000000000008</v>
      </c>
      <c r="E6" t="s">
        <v>151</v>
      </c>
      <c r="F6" t="s">
        <v>152</v>
      </c>
      <c r="G6" t="s">
        <v>150</v>
      </c>
      <c r="H6" t="s">
        <v>149</v>
      </c>
    </row>
    <row r="7" spans="1:8" x14ac:dyDescent="0.3">
      <c r="A7" t="s">
        <v>214</v>
      </c>
      <c r="B7">
        <v>8.09</v>
      </c>
      <c r="C7">
        <v>6</v>
      </c>
      <c r="D7">
        <v>8.1300000000000008</v>
      </c>
      <c r="E7" t="s">
        <v>151</v>
      </c>
      <c r="F7" t="s">
        <v>152</v>
      </c>
      <c r="G7" t="s">
        <v>150</v>
      </c>
      <c r="H7" t="s">
        <v>149</v>
      </c>
    </row>
    <row r="8" spans="1:8" x14ac:dyDescent="0.3">
      <c r="A8" t="s">
        <v>215</v>
      </c>
      <c r="B8">
        <v>8.09</v>
      </c>
      <c r="C8">
        <v>5.65</v>
      </c>
      <c r="D8">
        <v>8.1300000000000008</v>
      </c>
      <c r="E8" t="s">
        <v>151</v>
      </c>
      <c r="F8" t="s">
        <v>152</v>
      </c>
      <c r="G8" t="s">
        <v>150</v>
      </c>
      <c r="H8" t="s">
        <v>149</v>
      </c>
    </row>
    <row r="9" spans="1:8" x14ac:dyDescent="0.3">
      <c r="A9" t="s">
        <v>216</v>
      </c>
      <c r="B9">
        <v>8.09</v>
      </c>
      <c r="C9">
        <v>5.3</v>
      </c>
      <c r="D9">
        <v>8.1300000000000008</v>
      </c>
      <c r="E9" t="s">
        <v>151</v>
      </c>
      <c r="F9" t="s">
        <v>152</v>
      </c>
      <c r="G9" t="s">
        <v>150</v>
      </c>
      <c r="H9" t="s">
        <v>149</v>
      </c>
    </row>
    <row r="10" spans="1:8" x14ac:dyDescent="0.3">
      <c r="A10" t="s">
        <v>217</v>
      </c>
      <c r="B10">
        <v>8.09</v>
      </c>
      <c r="C10">
        <v>5.55</v>
      </c>
      <c r="D10">
        <v>8.1300000000000008</v>
      </c>
      <c r="E10" t="s">
        <v>151</v>
      </c>
      <c r="F10" t="s">
        <v>152</v>
      </c>
      <c r="G10" t="s">
        <v>150</v>
      </c>
      <c r="H10" t="s">
        <v>149</v>
      </c>
    </row>
    <row r="11" spans="1:8" x14ac:dyDescent="0.3">
      <c r="A11" t="s">
        <v>218</v>
      </c>
      <c r="B11">
        <v>8.09</v>
      </c>
      <c r="C11">
        <v>5.64</v>
      </c>
      <c r="D11">
        <v>8.1300000000000008</v>
      </c>
      <c r="E11" t="s">
        <v>151</v>
      </c>
      <c r="F11" t="s">
        <v>152</v>
      </c>
      <c r="G11" t="s">
        <v>150</v>
      </c>
      <c r="H11" t="s">
        <v>149</v>
      </c>
    </row>
    <row r="12" spans="1:8" x14ac:dyDescent="0.3">
      <c r="A12" t="s">
        <v>219</v>
      </c>
      <c r="B12">
        <v>8.09</v>
      </c>
      <c r="C12">
        <v>5.99</v>
      </c>
      <c r="D12">
        <v>8.1300000000000008</v>
      </c>
      <c r="E12" t="s">
        <v>151</v>
      </c>
      <c r="F12" t="s">
        <v>152</v>
      </c>
      <c r="G12" t="s">
        <v>150</v>
      </c>
      <c r="H12" t="s">
        <v>149</v>
      </c>
    </row>
    <row r="13" spans="1:8" x14ac:dyDescent="0.3">
      <c r="A13" t="s">
        <v>210</v>
      </c>
      <c r="B13">
        <v>8.09</v>
      </c>
      <c r="C13">
        <v>8.09</v>
      </c>
      <c r="D13">
        <v>8.1300000000000008</v>
      </c>
      <c r="E13" t="s">
        <v>151</v>
      </c>
      <c r="F13" t="s">
        <v>154</v>
      </c>
      <c r="G13" t="s">
        <v>153</v>
      </c>
      <c r="H13" t="s">
        <v>175</v>
      </c>
    </row>
  </sheetData>
  <sheetProtection algorithmName="SHA-512" hashValue="jADTQeqUDpM1Gck00pw5LfSonOywssIL2Jk77uEaPCjO3Ii5IAPhgZLx/K/doFNUSlJL7RqXYky9JkqI88/qtA==" saltValue="EvjkzqredQkRQnerM2WMfQ=="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4.4" x14ac:dyDescent="0.3"/>
  <cols>
    <col min="2" max="2" width="12.5546875" customWidth="1"/>
    <col min="3" max="3" width="8.109375" customWidth="1"/>
    <col min="5" max="5" width="32.5546875" customWidth="1"/>
    <col min="6" max="6" width="11.109375" customWidth="1"/>
    <col min="7" max="8" width="10.88671875" bestFit="1" customWidth="1"/>
    <col min="9" max="9" width="10.5546875" customWidth="1"/>
    <col min="12" max="12" width="9.109375" hidden="1" customWidth="1"/>
    <col min="13" max="13" width="10.33203125" hidden="1" customWidth="1"/>
    <col min="14" max="15" width="9.109375" hidden="1" customWidth="1"/>
  </cols>
  <sheetData>
    <row r="1" spans="1:15" ht="16.2" thickBot="1" x14ac:dyDescent="0.35">
      <c r="A1" s="78" t="s">
        <v>137</v>
      </c>
      <c r="B1" s="130">
        <f ca="1">TODAY()</f>
        <v>46126</v>
      </c>
      <c r="C1" s="131"/>
    </row>
    <row r="2" spans="1:15" ht="15.6" x14ac:dyDescent="0.3">
      <c r="A2" s="136" t="s">
        <v>204</v>
      </c>
      <c r="B2" s="136"/>
      <c r="C2" s="136"/>
      <c r="D2" s="136"/>
      <c r="E2" s="136"/>
    </row>
    <row r="3" spans="1:15" ht="15.6" x14ac:dyDescent="0.3">
      <c r="A3" s="135" t="s">
        <v>201</v>
      </c>
      <c r="B3" s="135"/>
      <c r="C3" s="135"/>
      <c r="D3" s="135"/>
      <c r="E3" s="1" t="s">
        <v>203</v>
      </c>
    </row>
    <row r="4" spans="1:15" ht="15" thickBot="1" x14ac:dyDescent="0.35"/>
    <row r="5" spans="1:15" ht="18.600000000000001" thickBot="1" x14ac:dyDescent="0.4">
      <c r="A5" s="79" t="s">
        <v>45</v>
      </c>
      <c r="F5" s="132" t="s">
        <v>64</v>
      </c>
      <c r="G5" s="133"/>
      <c r="H5" s="133"/>
      <c r="I5" s="134"/>
      <c r="L5" s="132" t="s">
        <v>33</v>
      </c>
      <c r="M5" s="133"/>
      <c r="N5" s="134"/>
    </row>
    <row r="6" spans="1:15" x14ac:dyDescent="0.3">
      <c r="E6" s="89"/>
      <c r="F6" s="45"/>
      <c r="G6" s="89"/>
      <c r="H6" s="89"/>
      <c r="I6" s="45"/>
      <c r="J6" s="5"/>
    </row>
    <row r="7" spans="1:15" x14ac:dyDescent="0.3">
      <c r="A7" s="84" t="s">
        <v>34</v>
      </c>
      <c r="F7" s="86" t="s">
        <v>0</v>
      </c>
      <c r="G7" s="86" t="s">
        <v>1</v>
      </c>
      <c r="H7" s="86" t="s">
        <v>196</v>
      </c>
      <c r="I7" s="86" t="s">
        <v>197</v>
      </c>
    </row>
    <row r="8" spans="1:15" ht="15.6" x14ac:dyDescent="0.3">
      <c r="A8" s="90" t="s">
        <v>63</v>
      </c>
      <c r="B8" s="91"/>
      <c r="E8" s="92"/>
      <c r="F8" s="16"/>
      <c r="G8" s="16"/>
      <c r="H8" s="16"/>
      <c r="I8" s="16"/>
      <c r="J8" s="29" t="s">
        <v>138</v>
      </c>
      <c r="M8" s="7">
        <f>SUM(F8+G8+H8+I8)</f>
        <v>0</v>
      </c>
    </row>
    <row r="9" spans="1:15" ht="15.6" x14ac:dyDescent="0.3">
      <c r="A9" s="90" t="s">
        <v>43</v>
      </c>
      <c r="B9" s="91"/>
      <c r="D9" s="94"/>
      <c r="E9" s="92"/>
      <c r="F9" s="16"/>
      <c r="G9" s="16"/>
      <c r="H9" s="16"/>
      <c r="I9" s="16"/>
      <c r="J9" s="15"/>
      <c r="M9" s="7">
        <f t="shared" ref="M9:M13" si="0">SUM(F9+G9+H9+I9)</f>
        <v>0</v>
      </c>
    </row>
    <row r="10" spans="1:15" ht="15.6" x14ac:dyDescent="0.3">
      <c r="A10" s="90" t="s">
        <v>44</v>
      </c>
      <c r="B10" s="91"/>
      <c r="D10" s="94"/>
      <c r="E10" s="92"/>
      <c r="F10" s="16"/>
      <c r="G10" s="16"/>
      <c r="H10" s="16"/>
      <c r="I10" s="16"/>
      <c r="J10" s="15"/>
      <c r="M10" s="7">
        <f t="shared" si="0"/>
        <v>0</v>
      </c>
    </row>
    <row r="11" spans="1:15" ht="15.6" x14ac:dyDescent="0.3">
      <c r="A11" s="90" t="s">
        <v>73</v>
      </c>
      <c r="B11" s="91"/>
      <c r="D11" s="94"/>
      <c r="E11" s="92"/>
      <c r="F11" s="16"/>
      <c r="G11" s="16"/>
      <c r="H11" s="16"/>
      <c r="I11" s="16"/>
      <c r="J11" s="15"/>
      <c r="M11" s="7">
        <f t="shared" si="0"/>
        <v>0</v>
      </c>
    </row>
    <row r="12" spans="1:15" ht="15.6" x14ac:dyDescent="0.3">
      <c r="A12" s="90" t="s">
        <v>35</v>
      </c>
      <c r="B12" s="91"/>
      <c r="D12" s="94"/>
      <c r="E12" s="92"/>
      <c r="F12" s="16"/>
      <c r="G12" s="16"/>
      <c r="H12" s="16"/>
      <c r="I12" s="16"/>
      <c r="J12" s="15"/>
      <c r="M12" s="7">
        <f t="shared" si="0"/>
        <v>0</v>
      </c>
    </row>
    <row r="13" spans="1:15" ht="16.2" thickBot="1" x14ac:dyDescent="0.35">
      <c r="A13" s="90" t="s">
        <v>77</v>
      </c>
      <c r="B13" s="91"/>
      <c r="D13" s="94"/>
      <c r="E13" s="92"/>
      <c r="F13" s="20"/>
      <c r="G13" s="20"/>
      <c r="H13" s="20"/>
      <c r="I13" s="20"/>
      <c r="J13" s="15"/>
      <c r="M13" s="21">
        <f t="shared" si="0"/>
        <v>0</v>
      </c>
    </row>
    <row r="14" spans="1:15" ht="16.2" thickBot="1" x14ac:dyDescent="0.35">
      <c r="A14" s="95" t="s">
        <v>37</v>
      </c>
      <c r="B14" s="91"/>
      <c r="D14" s="94"/>
      <c r="E14" s="92"/>
      <c r="F14" s="18">
        <f>SUM(F8:F13)</f>
        <v>0</v>
      </c>
      <c r="G14" s="18">
        <f>SUM(G8:G13)</f>
        <v>0</v>
      </c>
      <c r="H14" s="18">
        <f>SUM(H8:H13)</f>
        <v>0</v>
      </c>
      <c r="I14" s="18">
        <f>SUM(I8:I13)</f>
        <v>0</v>
      </c>
      <c r="J14" s="15"/>
      <c r="M14" s="18">
        <f>SUM(F14+G14+H14+I14)</f>
        <v>0</v>
      </c>
    </row>
    <row r="15" spans="1:15" ht="16.2" thickBot="1" x14ac:dyDescent="0.35">
      <c r="A15" s="95"/>
      <c r="B15" s="91"/>
      <c r="D15" s="94"/>
      <c r="E15" s="92"/>
      <c r="F15" s="30"/>
      <c r="G15" s="93"/>
      <c r="H15" s="93"/>
      <c r="I15" s="30"/>
      <c r="J15" s="15"/>
      <c r="M15" s="30"/>
    </row>
    <row r="16" spans="1:15" ht="15.75" customHeight="1" thickBot="1" x14ac:dyDescent="0.35">
      <c r="E16" s="92"/>
      <c r="F16" s="132" t="s">
        <v>32</v>
      </c>
      <c r="G16" s="133"/>
      <c r="H16" s="133"/>
      <c r="I16" s="134"/>
      <c r="J16" s="6"/>
      <c r="L16" s="132" t="s">
        <v>33</v>
      </c>
      <c r="M16" s="133"/>
      <c r="N16" s="134"/>
      <c r="O16" s="31" t="s">
        <v>65</v>
      </c>
    </row>
    <row r="17" spans="1:15" x14ac:dyDescent="0.3">
      <c r="A17" s="84" t="s">
        <v>38</v>
      </c>
      <c r="E17" s="92"/>
      <c r="F17" s="92"/>
      <c r="G17" s="92"/>
      <c r="H17" s="96"/>
      <c r="I17" s="92"/>
      <c r="J17" s="6"/>
    </row>
    <row r="18" spans="1:15" ht="15.6" x14ac:dyDescent="0.3">
      <c r="A18" s="90" t="s">
        <v>160</v>
      </c>
      <c r="B18" s="91"/>
      <c r="D18" s="94"/>
      <c r="E18" s="92"/>
      <c r="F18" s="9"/>
      <c r="G18" s="93"/>
      <c r="H18" s="93"/>
      <c r="J18" s="15"/>
      <c r="M18" s="17">
        <f>IF($F18&gt;=$O18,$F18,IF(AND($O18&gt;=$F18,$E$3="Remortgage",$F18&gt;0),$F18,$O18))</f>
        <v>504.40000000000003</v>
      </c>
      <c r="O18" s="11">
        <f>VLOOKUP(Income!F17,'ONS Data'!A:I,4,FALSE)</f>
        <v>504.40000000000003</v>
      </c>
    </row>
    <row r="19" spans="1:15" ht="15.6" x14ac:dyDescent="0.3">
      <c r="A19" s="90" t="s">
        <v>39</v>
      </c>
      <c r="B19" s="91"/>
      <c r="D19" s="94"/>
      <c r="E19" s="92"/>
      <c r="F19" s="16"/>
      <c r="G19" s="93"/>
      <c r="H19" s="93"/>
      <c r="J19" s="15"/>
      <c r="M19" s="17">
        <f>SUM(F19)</f>
        <v>0</v>
      </c>
      <c r="O19" s="8"/>
    </row>
    <row r="20" spans="1:15" ht="16.2" thickBot="1" x14ac:dyDescent="0.35">
      <c r="A20" s="90" t="s">
        <v>40</v>
      </c>
      <c r="B20" s="91"/>
      <c r="D20" s="94"/>
      <c r="E20" s="92"/>
      <c r="F20" s="20"/>
      <c r="G20" s="93"/>
      <c r="H20" s="93"/>
      <c r="J20" s="15"/>
      <c r="M20" s="26">
        <f>SUM(F20)</f>
        <v>0</v>
      </c>
    </row>
    <row r="21" spans="1:15" ht="16.2" thickBot="1" x14ac:dyDescent="0.35">
      <c r="A21" s="95" t="s">
        <v>37</v>
      </c>
      <c r="B21" s="91"/>
      <c r="D21" s="94"/>
      <c r="E21" s="92"/>
      <c r="F21" s="18">
        <f>SUM(F18:F20)</f>
        <v>0</v>
      </c>
      <c r="G21" s="93"/>
      <c r="H21" s="93"/>
      <c r="J21" s="15"/>
      <c r="M21" s="18">
        <f>SUM(M18:M20)</f>
        <v>504.40000000000003</v>
      </c>
      <c r="O21" s="14"/>
    </row>
    <row r="22" spans="1:15" x14ac:dyDescent="0.3">
      <c r="E22" s="92"/>
      <c r="F22" s="92"/>
      <c r="G22" s="92"/>
      <c r="H22" s="96"/>
      <c r="J22" s="6"/>
    </row>
    <row r="23" spans="1:15" x14ac:dyDescent="0.3">
      <c r="A23" s="84" t="s">
        <v>41</v>
      </c>
      <c r="E23" s="92"/>
      <c r="F23" s="92"/>
      <c r="G23" s="92"/>
      <c r="H23" s="96"/>
      <c r="J23" s="6"/>
    </row>
    <row r="24" spans="1:15" ht="15.6" x14ac:dyDescent="0.3">
      <c r="A24" s="90" t="s">
        <v>162</v>
      </c>
      <c r="B24" s="91"/>
      <c r="E24" s="92"/>
      <c r="F24" s="9"/>
      <c r="G24" s="92"/>
      <c r="H24" s="92"/>
      <c r="J24" s="6"/>
      <c r="M24" s="17">
        <f>IF($F24&gt;=$O24,$F24,IF(AND($O24&gt;=$F24,$E$3="Remortgage",$F24&gt;0),$F24,$O24))</f>
        <v>169.43333333333334</v>
      </c>
      <c r="O24" s="10">
        <f>VLOOKUP(Income!F17,'ONS Data'!A:I,7,FALSE)</f>
        <v>169.43333333333334</v>
      </c>
    </row>
    <row r="25" spans="1:15" ht="15.6" x14ac:dyDescent="0.3">
      <c r="A25" s="90" t="s">
        <v>163</v>
      </c>
      <c r="B25" s="91"/>
      <c r="D25" s="94"/>
      <c r="E25" s="92"/>
      <c r="F25" s="9"/>
      <c r="G25" s="92"/>
      <c r="H25" s="92"/>
      <c r="J25" s="6"/>
      <c r="M25" s="17">
        <f>IF($F25&gt;=$O25,$F25,IF(AND($O25&gt;=$F25,$E$3="Remortgage",$F25&gt;0),$F25,$O25))</f>
        <v>39.866666666666667</v>
      </c>
      <c r="O25" s="12">
        <f>VLOOKUP(Income!F17,'ONS Data'!A:I,9,FALSE)</f>
        <v>39.866666666666667</v>
      </c>
    </row>
    <row r="26" spans="1:15" ht="15.6" x14ac:dyDescent="0.3">
      <c r="A26" s="90" t="s">
        <v>164</v>
      </c>
      <c r="B26" s="91"/>
      <c r="D26" s="94"/>
      <c r="E26" s="92"/>
      <c r="F26" s="9"/>
      <c r="G26" s="92"/>
      <c r="H26" s="92"/>
      <c r="J26" s="6"/>
      <c r="M26" s="17">
        <f>SUM(F26)</f>
        <v>0</v>
      </c>
      <c r="O26" s="11"/>
    </row>
    <row r="27" spans="1:15" ht="15.6" x14ac:dyDescent="0.3">
      <c r="A27" s="90" t="s">
        <v>165</v>
      </c>
      <c r="B27" s="91"/>
      <c r="D27" s="94"/>
      <c r="E27" s="92"/>
      <c r="F27" s="9"/>
      <c r="G27" s="92"/>
      <c r="H27" s="92"/>
      <c r="J27" s="6"/>
      <c r="M27" s="17">
        <f>IF($F27&gt;=$O27,$F27,IF(AND($O27&gt;=$F27,$E$3="Remortgage",$F27&gt;0),$F27,$O27))</f>
        <v>17.333333333333332</v>
      </c>
      <c r="O27" s="11">
        <f>VLOOKUP(Income!F17,'ONS Data'!A:I,6,FALSE)</f>
        <v>17.333333333333332</v>
      </c>
    </row>
    <row r="28" spans="1:15" ht="16.2" thickBot="1" x14ac:dyDescent="0.35">
      <c r="A28" s="90" t="s">
        <v>46</v>
      </c>
      <c r="B28" s="91"/>
      <c r="D28" s="94"/>
      <c r="E28" s="92"/>
      <c r="F28" s="19"/>
      <c r="G28" s="92"/>
      <c r="H28" s="92"/>
      <c r="J28" s="6"/>
      <c r="M28" s="26">
        <f>SUM(F28)</f>
        <v>0</v>
      </c>
      <c r="O28" s="13"/>
    </row>
    <row r="29" spans="1:15" ht="16.2" thickBot="1" x14ac:dyDescent="0.35">
      <c r="A29" s="95" t="s">
        <v>37</v>
      </c>
      <c r="B29" s="91"/>
      <c r="D29" s="94"/>
      <c r="E29" s="92"/>
      <c r="F29" s="18">
        <f>SUM(F24:F28)</f>
        <v>0</v>
      </c>
      <c r="G29" s="92"/>
      <c r="H29" s="92"/>
      <c r="J29" s="6"/>
      <c r="M29" s="18">
        <f>SUM(M24:M28)</f>
        <v>226.63333333333335</v>
      </c>
      <c r="O29" s="14"/>
    </row>
    <row r="31" spans="1:15" ht="15" thickBot="1" x14ac:dyDescent="0.35"/>
    <row r="32" spans="1:15" ht="16.2" thickBot="1" x14ac:dyDescent="0.35">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09375" defaultRowHeight="14.4" x14ac:dyDescent="0.3"/>
  <cols>
    <col min="1" max="1" width="9.109375" style="68"/>
    <col min="2" max="2" width="10.5546875" style="68" customWidth="1"/>
    <col min="3" max="3" width="11" style="68" customWidth="1"/>
    <col min="4" max="5" width="9.109375" style="68"/>
    <col min="6" max="6" width="12.88671875" style="68" bestFit="1" customWidth="1"/>
    <col min="7" max="7" width="9.109375" style="68"/>
    <col min="8" max="8" width="22.44140625" style="68" customWidth="1"/>
    <col min="9" max="9" width="28.44140625" style="68" hidden="1" customWidth="1"/>
    <col min="10" max="10" width="21.109375" style="68" hidden="1" customWidth="1"/>
    <col min="11" max="11" width="5" style="68" hidden="1" customWidth="1"/>
    <col min="12" max="12" width="11.109375" style="68" customWidth="1"/>
    <col min="13" max="14" width="9.109375" style="68" customWidth="1"/>
    <col min="15" max="16384" width="9.109375" style="68"/>
  </cols>
  <sheetData>
    <row r="1" spans="1:13" ht="16.2" thickBot="1" x14ac:dyDescent="0.35">
      <c r="A1" s="78" t="s">
        <v>137</v>
      </c>
      <c r="B1" s="130">
        <f ca="1">TODAY()</f>
        <v>46126</v>
      </c>
      <c r="C1" s="131"/>
      <c r="D1"/>
      <c r="E1"/>
      <c r="F1"/>
      <c r="G1"/>
      <c r="H1"/>
      <c r="I1"/>
      <c r="J1"/>
      <c r="K1"/>
      <c r="L1"/>
      <c r="M1"/>
    </row>
    <row r="2" spans="1:13" ht="16.2" thickBot="1" x14ac:dyDescent="0.35">
      <c r="A2" s="136" t="s">
        <v>204</v>
      </c>
      <c r="B2" s="136"/>
      <c r="C2" s="136"/>
      <c r="D2" s="136"/>
      <c r="E2" s="136"/>
      <c r="F2"/>
      <c r="G2"/>
      <c r="H2"/>
      <c r="I2"/>
      <c r="J2"/>
      <c r="K2"/>
      <c r="L2"/>
      <c r="M2"/>
    </row>
    <row r="3" spans="1:13" ht="19.2" thickTop="1" thickBot="1" x14ac:dyDescent="0.4">
      <c r="A3" s="79" t="s">
        <v>53</v>
      </c>
      <c r="B3"/>
      <c r="C3"/>
      <c r="D3" s="139" t="s">
        <v>217</v>
      </c>
      <c r="E3" s="140"/>
      <c r="F3" s="140"/>
      <c r="G3" s="140"/>
      <c r="H3" s="141"/>
      <c r="I3"/>
      <c r="J3"/>
      <c r="K3"/>
      <c r="L3"/>
      <c r="M3"/>
    </row>
    <row r="4" spans="1:13" ht="18.600000000000001" thickTop="1" x14ac:dyDescent="0.35">
      <c r="A4" s="79"/>
      <c r="B4"/>
      <c r="C4"/>
      <c r="D4" s="29"/>
      <c r="E4" s="29"/>
      <c r="F4" s="29"/>
      <c r="G4"/>
      <c r="H4"/>
      <c r="I4"/>
      <c r="J4"/>
      <c r="K4"/>
      <c r="L4"/>
      <c r="M4"/>
    </row>
    <row r="5" spans="1:13" ht="16.2" thickBot="1" x14ac:dyDescent="0.35">
      <c r="A5" s="109" t="s">
        <v>23</v>
      </c>
      <c r="B5"/>
      <c r="C5" s="29"/>
      <c r="D5" s="45"/>
      <c r="E5" s="45"/>
      <c r="F5" s="45"/>
      <c r="G5" s="45"/>
      <c r="H5"/>
      <c r="I5"/>
      <c r="J5"/>
      <c r="K5"/>
      <c r="L5"/>
      <c r="M5"/>
    </row>
    <row r="6" spans="1:13" x14ac:dyDescent="0.3">
      <c r="A6" s="110" t="s">
        <v>24</v>
      </c>
      <c r="B6" s="111"/>
      <c r="C6" s="45"/>
      <c r="D6" s="45"/>
      <c r="E6" s="45"/>
      <c r="F6" s="45"/>
      <c r="G6" s="45"/>
      <c r="H6" s="51"/>
      <c r="I6"/>
      <c r="J6"/>
      <c r="K6"/>
      <c r="L6"/>
      <c r="M6"/>
    </row>
    <row r="7" spans="1:13" x14ac:dyDescent="0.3">
      <c r="A7" s="110" t="s">
        <v>25</v>
      </c>
      <c r="B7" s="111"/>
      <c r="C7" s="45"/>
      <c r="D7" s="45"/>
      <c r="E7" s="45"/>
      <c r="F7" s="45"/>
      <c r="G7" s="45"/>
      <c r="H7" s="53">
        <f>VLOOKUP($D$3,Table_Query_from_DPR_DMART[],2,FALSE)</f>
        <v>8.09</v>
      </c>
      <c r="I7"/>
      <c r="J7"/>
      <c r="K7"/>
      <c r="L7"/>
      <c r="M7"/>
    </row>
    <row r="8" spans="1:13" x14ac:dyDescent="0.3">
      <c r="A8" s="110" t="s">
        <v>26</v>
      </c>
      <c r="B8" s="111"/>
      <c r="C8" s="45"/>
      <c r="D8" s="45"/>
      <c r="E8" s="45"/>
      <c r="F8" s="45"/>
      <c r="G8" s="45"/>
      <c r="H8" s="52"/>
      <c r="I8"/>
      <c r="J8"/>
      <c r="K8"/>
      <c r="L8"/>
      <c r="M8"/>
    </row>
    <row r="9" spans="1:13" x14ac:dyDescent="0.3">
      <c r="A9" s="110" t="s">
        <v>157</v>
      </c>
      <c r="B9" s="111"/>
      <c r="C9" s="45"/>
      <c r="D9" s="45"/>
      <c r="E9" s="45"/>
      <c r="F9" s="45"/>
      <c r="G9" s="45"/>
      <c r="H9" s="67" t="str">
        <f>VLOOKUP($D$3,Table_Query_from_DPR_DMART[],8,FALSE)</f>
        <v>Residential</v>
      </c>
      <c r="I9"/>
      <c r="J9"/>
      <c r="K9" s="80"/>
      <c r="L9"/>
      <c r="M9"/>
    </row>
    <row r="10" spans="1:13" x14ac:dyDescent="0.3">
      <c r="A10" s="110" t="s">
        <v>155</v>
      </c>
      <c r="B10" s="111"/>
      <c r="C10" s="45"/>
      <c r="D10" s="45"/>
      <c r="E10" s="45"/>
      <c r="F10" s="45"/>
      <c r="G10" s="45"/>
      <c r="H10" s="67" t="str">
        <f>VLOOKUP($D$3,Table_Query_from_DPR_DMART[],6,FALSE)</f>
        <v>Discounted</v>
      </c>
      <c r="I10"/>
      <c r="J10"/>
      <c r="K10" s="80"/>
      <c r="L10"/>
      <c r="M10"/>
    </row>
    <row r="11" spans="1:13" x14ac:dyDescent="0.3">
      <c r="A11" s="110" t="s">
        <v>156</v>
      </c>
      <c r="B11" s="111"/>
      <c r="C11" s="45"/>
      <c r="D11" s="45"/>
      <c r="E11" s="45"/>
      <c r="F11" s="45"/>
      <c r="G11" s="45"/>
      <c r="H11" s="67" t="str">
        <f>VLOOKUP($D$3,Table_Query_from_DPR_DMART[],5,FALSE)</f>
        <v/>
      </c>
      <c r="I11"/>
      <c r="J11"/>
      <c r="K11" s="80"/>
      <c r="L11"/>
      <c r="M11"/>
    </row>
    <row r="12" spans="1:13" x14ac:dyDescent="0.3">
      <c r="A12" s="110" t="s">
        <v>83</v>
      </c>
      <c r="B12" s="111"/>
      <c r="C12" s="45"/>
      <c r="D12" s="45"/>
      <c r="E12" s="45"/>
      <c r="F12" s="45"/>
      <c r="G12" s="45"/>
      <c r="H12" s="67" t="str">
        <f>IF(VLOOKUP($D$3,Table_Query_from_DPR_DMART[],5,FALSE)="5YR","Y","N")</f>
        <v>N</v>
      </c>
      <c r="I12"/>
      <c r="J12"/>
      <c r="K12"/>
      <c r="L12"/>
      <c r="M12"/>
    </row>
    <row r="13" spans="1:13" x14ac:dyDescent="0.3">
      <c r="A13" s="110" t="s">
        <v>27</v>
      </c>
      <c r="B13" s="111"/>
      <c r="C13" s="45"/>
      <c r="D13" s="45"/>
      <c r="E13" s="45"/>
      <c r="F13" s="45"/>
      <c r="G13" s="45"/>
      <c r="H13" s="67" t="str">
        <f>IF(VLOOKUP($D$3,Table_Query_from_DPR_DMART[],5,FALSE)="5YR",VLOOKUP($D$3,Table_Query_from_DPR_DMART[],3,FALSE),"-")</f>
        <v>-</v>
      </c>
      <c r="I13"/>
      <c r="J13"/>
      <c r="K13"/>
      <c r="L13"/>
      <c r="M13"/>
    </row>
    <row r="14" spans="1:13" x14ac:dyDescent="0.3">
      <c r="A14" s="110" t="s">
        <v>28</v>
      </c>
      <c r="B14" s="111"/>
      <c r="C14" s="45"/>
      <c r="D14" s="45"/>
      <c r="E14" s="45"/>
      <c r="F14" s="45"/>
      <c r="G14" s="45"/>
      <c r="H14" s="67">
        <f>VLOOKUP($D$3,Table_Query_from_DPR_DMART[],4,FALSE)</f>
        <v>8.1300000000000008</v>
      </c>
      <c r="I14"/>
      <c r="J14"/>
      <c r="K14"/>
      <c r="L14"/>
      <c r="M14"/>
    </row>
    <row r="15" spans="1:13" ht="30" customHeight="1" x14ac:dyDescent="0.3">
      <c r="A15" s="142" t="s">
        <v>188</v>
      </c>
      <c r="B15" s="142"/>
      <c r="C15" s="142"/>
      <c r="D15" s="142"/>
      <c r="E15" s="142"/>
      <c r="F15" s="142"/>
      <c r="G15" s="45"/>
      <c r="H15" s="122"/>
      <c r="I15"/>
      <c r="J15"/>
      <c r="K15"/>
      <c r="L15"/>
      <c r="M15"/>
    </row>
    <row r="16" spans="1:13" ht="15" thickBot="1" x14ac:dyDescent="0.35">
      <c r="A16" s="110" t="s">
        <v>84</v>
      </c>
      <c r="B16" s="111"/>
      <c r="C16" s="45"/>
      <c r="D16" s="45"/>
      <c r="E16" s="45"/>
      <c r="F16" s="45"/>
      <c r="G16" s="45"/>
      <c r="H16" s="123"/>
      <c r="I16"/>
      <c r="J16"/>
      <c r="K16"/>
      <c r="L16"/>
      <c r="M16"/>
    </row>
    <row r="17" spans="1:16" ht="5.25" customHeight="1" x14ac:dyDescent="0.3">
      <c r="A17" s="121"/>
      <c r="B17" s="121"/>
      <c r="C17" s="121"/>
      <c r="D17" s="121"/>
      <c r="E17" s="121"/>
      <c r="F17" s="121"/>
      <c r="G17" s="121"/>
      <c r="H17" s="81"/>
      <c r="I17" s="120"/>
      <c r="J17"/>
      <c r="K17"/>
      <c r="L17"/>
      <c r="M17"/>
    </row>
    <row r="18" spans="1:16" x14ac:dyDescent="0.3">
      <c r="A18"/>
      <c r="B18"/>
      <c r="C18"/>
      <c r="D18"/>
      <c r="E18"/>
      <c r="F18"/>
      <c r="G18"/>
      <c r="H18" s="81" t="s">
        <v>52</v>
      </c>
      <c r="I18"/>
      <c r="J18"/>
      <c r="K18" s="82"/>
      <c r="L18"/>
      <c r="M18"/>
    </row>
    <row r="19" spans="1:16" ht="10.5" customHeight="1" thickBot="1" x14ac:dyDescent="0.35">
      <c r="A19"/>
      <c r="B19"/>
      <c r="C19"/>
      <c r="D19"/>
      <c r="E19" s="29"/>
      <c r="F19" s="29"/>
      <c r="G19"/>
      <c r="H19" s="50"/>
      <c r="I19"/>
      <c r="J19"/>
      <c r="K19"/>
      <c r="L19"/>
      <c r="M19"/>
    </row>
    <row r="20" spans="1:16" ht="15" thickBot="1" x14ac:dyDescent="0.35">
      <c r="A20" s="83"/>
      <c r="B20"/>
      <c r="C20"/>
      <c r="D20" s="84" t="s">
        <v>29</v>
      </c>
      <c r="E20" s="29"/>
      <c r="F20" s="29"/>
      <c r="G20"/>
      <c r="H20" s="34" t="b">
        <f>IF(H16="C",PMT(H14/100/12,H8*12,(0-H6),0),IF(H16="I",H6*H14/100/12))</f>
        <v>0</v>
      </c>
      <c r="I20"/>
      <c r="J20"/>
      <c r="K20" s="80"/>
      <c r="L20"/>
      <c r="M20"/>
    </row>
    <row r="21" spans="1:16" ht="9.75" customHeight="1" thickBot="1" x14ac:dyDescent="0.35">
      <c r="A21"/>
      <c r="B21"/>
      <c r="C21"/>
      <c r="D21"/>
      <c r="E21" s="29"/>
      <c r="F21" s="29"/>
      <c r="G21"/>
      <c r="H21"/>
      <c r="I21" s="84"/>
      <c r="J21"/>
      <c r="K21" s="80"/>
      <c r="L21"/>
      <c r="M21"/>
    </row>
    <row r="22" spans="1:16" ht="15" thickBot="1" x14ac:dyDescent="0.35">
      <c r="A22"/>
      <c r="B22"/>
      <c r="C22"/>
      <c r="D22" s="84" t="s">
        <v>30</v>
      </c>
      <c r="E22" s="29"/>
      <c r="F22" s="29"/>
      <c r="G22"/>
      <c r="H22" s="32" t="e">
        <f>SUM(H20/((Income!F14+Income!H14+Income!J14+Income!L14)-Expenditure!M14))</f>
        <v>#DIV/0!</v>
      </c>
      <c r="I22"/>
      <c r="J22"/>
      <c r="K22" s="80"/>
      <c r="L22"/>
      <c r="M22"/>
    </row>
    <row r="23" spans="1:16" ht="9.75" customHeight="1" thickBot="1" x14ac:dyDescent="0.35">
      <c r="A23"/>
      <c r="B23"/>
      <c r="C23"/>
      <c r="D23"/>
      <c r="E23" s="29"/>
      <c r="F23" s="29"/>
      <c r="G23"/>
      <c r="H23"/>
      <c r="I23"/>
      <c r="J23"/>
      <c r="K23"/>
      <c r="L23"/>
      <c r="M23"/>
    </row>
    <row r="24" spans="1:16" ht="15" thickBot="1" x14ac:dyDescent="0.35">
      <c r="A24"/>
      <c r="B24"/>
      <c r="C24"/>
      <c r="D24" s="84" t="s">
        <v>50</v>
      </c>
      <c r="E24" s="29"/>
      <c r="F24" s="29"/>
      <c r="G24"/>
      <c r="H24" s="31" t="e">
        <f>IF(H22&lt;=0%,"DECLINE",IF(H22&lt;=45.49999999%,"PASS",IF(H22&gt;55.49999999%,"DECLINE","REFER")))</f>
        <v>#DIV/0!</v>
      </c>
      <c r="I24"/>
      <c r="J24"/>
      <c r="K24" s="82"/>
      <c r="L24"/>
      <c r="M24"/>
    </row>
    <row r="25" spans="1:16" ht="9.75" customHeight="1" thickBot="1" x14ac:dyDescent="0.35">
      <c r="A25"/>
      <c r="B25"/>
      <c r="C25"/>
      <c r="D25"/>
      <c r="E25" s="29"/>
      <c r="F25" s="29"/>
      <c r="G25"/>
      <c r="H25"/>
      <c r="I25"/>
      <c r="J25"/>
      <c r="K25" s="85"/>
      <c r="L25"/>
      <c r="M25" s="108"/>
      <c r="N25" s="71"/>
      <c r="O25" s="71"/>
      <c r="P25" s="71"/>
    </row>
    <row r="26" spans="1:16" ht="15.75" customHeight="1" thickBot="1" x14ac:dyDescent="0.35">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38"/>
      <c r="L26" s="137"/>
      <c r="M26"/>
    </row>
    <row r="27" spans="1:16" ht="9.75" customHeight="1" thickBot="1" x14ac:dyDescent="0.35">
      <c r="A27"/>
      <c r="B27"/>
      <c r="C27"/>
      <c r="D27"/>
      <c r="E27" s="29"/>
      <c r="F27" s="29"/>
      <c r="G27"/>
      <c r="H27"/>
      <c r="I27"/>
      <c r="J27"/>
      <c r="K27" s="138"/>
      <c r="L27" s="137"/>
      <c r="M27"/>
    </row>
    <row r="28" spans="1:16" ht="15.75" customHeight="1" thickBot="1" x14ac:dyDescent="0.35">
      <c r="A28"/>
      <c r="B28"/>
      <c r="C28"/>
      <c r="D28" s="8" t="s">
        <v>51</v>
      </c>
      <c r="E28" s="29"/>
      <c r="F28" s="29"/>
      <c r="G28"/>
      <c r="H28" s="54" t="str">
        <f>IF(Calc!A1&lt;=0%,"DECLINE",IF(Calc!A1&gt;100%,"DECLINE","PASS"))</f>
        <v>DECLINE</v>
      </c>
      <c r="I28"/>
      <c r="J28"/>
      <c r="K28"/>
      <c r="L28"/>
      <c r="M28"/>
    </row>
    <row r="29" spans="1:16" ht="9.75" customHeight="1" thickBot="1" x14ac:dyDescent="0.35">
      <c r="A29"/>
      <c r="B29"/>
      <c r="C29"/>
      <c r="D29" s="8"/>
      <c r="E29" s="29"/>
      <c r="F29" s="29"/>
      <c r="G29"/>
      <c r="H29" s="118"/>
      <c r="I29"/>
      <c r="J29"/>
      <c r="K29"/>
      <c r="L29"/>
      <c r="M29"/>
    </row>
    <row r="30" spans="1:16" ht="15" thickBot="1" x14ac:dyDescent="0.35">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5">
      <c r="A31"/>
      <c r="B31"/>
      <c r="C31"/>
      <c r="D31"/>
      <c r="E31"/>
      <c r="F31"/>
      <c r="G31"/>
      <c r="H31"/>
      <c r="I31"/>
      <c r="J31"/>
      <c r="K31" s="87"/>
      <c r="L31" s="88"/>
      <c r="M31" s="88"/>
      <c r="N31" s="69"/>
      <c r="O31" s="69"/>
      <c r="P31" s="69"/>
    </row>
    <row r="32" spans="1:16" ht="15" thickBot="1" x14ac:dyDescent="0.35">
      <c r="D32" s="112" t="s">
        <v>187</v>
      </c>
      <c r="H32" s="31" t="e">
        <f>IF(AND(H30&gt;=4.5,H15="Y"),"DECLINE","PASS")</f>
        <v>#DIV/0!</v>
      </c>
    </row>
    <row r="37" spans="11:16" ht="15" customHeight="1" x14ac:dyDescent="0.3">
      <c r="M37" s="69"/>
      <c r="N37" s="69"/>
      <c r="O37" s="69"/>
      <c r="P37" s="69"/>
    </row>
    <row r="38" spans="11:16" x14ac:dyDescent="0.3">
      <c r="M38" s="69"/>
      <c r="N38" s="69"/>
      <c r="O38" s="69"/>
      <c r="P38" s="69"/>
    </row>
    <row r="39" spans="11:16" x14ac:dyDescent="0.3">
      <c r="K39" s="70"/>
      <c r="L39" s="69"/>
      <c r="M39" s="69"/>
      <c r="N39" s="69"/>
      <c r="O39" s="69"/>
      <c r="P39" s="69"/>
    </row>
  </sheetData>
  <sheetProtection algorithmName="SHA-512" hashValue="00Kkk5Ef6EsLsMRmWhETFx6uQSqZxCXopfk2PIc0pMknX1oB656Qmq2rQ4+cDN8ggKK+pRrVl6EPfh+lgNDhcg==" saltValue="T18D4yUW/Jlw2SzakP8URw=="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B4BCBE61-AD6F-4733-B78B-20BD684DA092}">
      <formula1>INDIRECT("ProductData!$A$2:$A$13")</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160020</xdr:rowOff>
                  </from>
                  <to>
                    <xdr:col>10</xdr:col>
                    <xdr:colOff>213360</xdr:colOff>
                    <xdr:row>3</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4.4" x14ac:dyDescent="0.3"/>
  <cols>
    <col min="1" max="1" width="10.88671875" bestFit="1" customWidth="1"/>
    <col min="2" max="2" width="18.6640625" bestFit="1" customWidth="1"/>
    <col min="3" max="3" width="16.5546875" customWidth="1"/>
    <col min="4" max="4" width="38" bestFit="1" customWidth="1"/>
    <col min="5" max="5" width="14" bestFit="1" customWidth="1"/>
    <col min="6" max="6" width="9" bestFit="1" customWidth="1"/>
    <col min="7" max="7" width="13.88671875" bestFit="1" customWidth="1"/>
    <col min="8" max="8" width="16.33203125" bestFit="1" customWidth="1"/>
    <col min="9" max="11" width="10.5546875" bestFit="1" customWidth="1"/>
    <col min="12" max="12" width="11.5546875" bestFit="1" customWidth="1"/>
  </cols>
  <sheetData>
    <row r="1" spans="1:12" x14ac:dyDescent="0.3">
      <c r="A1" s="45" t="s">
        <v>5</v>
      </c>
      <c r="B1" s="45"/>
      <c r="C1" s="45"/>
      <c r="D1" s="46" t="s">
        <v>159</v>
      </c>
      <c r="E1" s="46" t="s">
        <v>6</v>
      </c>
      <c r="F1" s="46" t="s">
        <v>7</v>
      </c>
      <c r="G1" s="46" t="s">
        <v>8</v>
      </c>
      <c r="H1" s="46" t="s">
        <v>9</v>
      </c>
      <c r="I1" s="46" t="s">
        <v>10</v>
      </c>
      <c r="J1" s="46" t="s">
        <v>11</v>
      </c>
      <c r="K1" s="46" t="s">
        <v>12</v>
      </c>
      <c r="L1" s="36" t="s">
        <v>3</v>
      </c>
    </row>
    <row r="2" spans="1:12" x14ac:dyDescent="0.3">
      <c r="A2" s="45"/>
      <c r="B2" s="45"/>
      <c r="C2" s="45"/>
      <c r="D2" s="45"/>
      <c r="E2" s="45"/>
      <c r="F2" s="45"/>
      <c r="G2" s="45"/>
      <c r="H2" s="45"/>
      <c r="I2" s="45"/>
      <c r="J2" s="45"/>
      <c r="K2" s="45"/>
    </row>
    <row r="3" spans="1:12" x14ac:dyDescent="0.3">
      <c r="A3" s="45"/>
      <c r="B3" s="46"/>
      <c r="C3" s="45"/>
      <c r="D3" s="45"/>
      <c r="E3" s="45"/>
      <c r="F3" s="45"/>
      <c r="G3" s="45"/>
      <c r="H3" s="45"/>
      <c r="I3" s="45"/>
      <c r="J3" s="45"/>
      <c r="K3" s="45"/>
    </row>
    <row r="4" spans="1:12" x14ac:dyDescent="0.3">
      <c r="A4" s="45"/>
      <c r="B4" s="46"/>
      <c r="C4" s="45"/>
      <c r="D4" s="47"/>
      <c r="E4" s="47"/>
      <c r="F4" s="47"/>
      <c r="G4" s="47"/>
      <c r="H4" s="47"/>
      <c r="I4" s="47"/>
      <c r="J4" s="45"/>
      <c r="K4" s="45"/>
    </row>
    <row r="5" spans="1:12" x14ac:dyDescent="0.3">
      <c r="A5" s="45"/>
      <c r="B5" s="46"/>
      <c r="C5" s="45"/>
      <c r="D5" s="48"/>
      <c r="E5" s="45"/>
      <c r="F5" s="45"/>
      <c r="G5" s="45"/>
      <c r="H5" s="45"/>
      <c r="I5" s="45"/>
      <c r="J5" s="45"/>
      <c r="K5" s="45"/>
    </row>
    <row r="6" spans="1:12" x14ac:dyDescent="0.3">
      <c r="A6" s="45"/>
      <c r="B6" s="43" t="s">
        <v>176</v>
      </c>
      <c r="C6" s="45"/>
      <c r="D6" s="49">
        <v>116.4</v>
      </c>
      <c r="E6" s="49">
        <v>15</v>
      </c>
      <c r="F6" s="49">
        <v>4</v>
      </c>
      <c r="G6" s="49">
        <v>39.1</v>
      </c>
      <c r="H6" s="49">
        <v>8</v>
      </c>
      <c r="I6" s="49">
        <v>9.1999999999999993</v>
      </c>
      <c r="J6" s="49">
        <v>34.200000000000003</v>
      </c>
      <c r="K6" s="49">
        <v>50</v>
      </c>
      <c r="L6" s="49">
        <v>275.89999999999998</v>
      </c>
    </row>
    <row r="7" spans="1:12" x14ac:dyDescent="0.3">
      <c r="A7" s="45"/>
      <c r="B7" s="43" t="s">
        <v>177</v>
      </c>
      <c r="C7" s="45"/>
      <c r="D7" s="49">
        <v>145.6</v>
      </c>
      <c r="E7" s="49">
        <v>23.5</v>
      </c>
      <c r="F7" s="49">
        <v>5.2</v>
      </c>
      <c r="G7" s="49">
        <v>69.7</v>
      </c>
      <c r="H7" s="49">
        <v>14.2</v>
      </c>
      <c r="I7" s="49">
        <v>15.9</v>
      </c>
      <c r="J7" s="49">
        <v>83.7</v>
      </c>
      <c r="K7" s="49">
        <v>115.9</v>
      </c>
      <c r="L7" s="49">
        <v>473.69999999999993</v>
      </c>
    </row>
    <row r="8" spans="1:12" x14ac:dyDescent="0.3">
      <c r="A8" s="45"/>
      <c r="B8" s="43" t="s">
        <v>178</v>
      </c>
      <c r="C8" s="45"/>
      <c r="D8" s="49">
        <v>145.9</v>
      </c>
      <c r="E8" s="49">
        <v>18.600000000000001</v>
      </c>
      <c r="F8" s="49">
        <v>3.1</v>
      </c>
      <c r="G8" s="49">
        <v>47.5</v>
      </c>
      <c r="H8" s="49">
        <v>5.5</v>
      </c>
      <c r="I8" s="49">
        <v>19.8</v>
      </c>
      <c r="J8" s="49">
        <v>34.1</v>
      </c>
      <c r="K8" s="49">
        <v>42.9</v>
      </c>
      <c r="L8" s="49">
        <v>317.39999999999998</v>
      </c>
    </row>
    <row r="9" spans="1:12" x14ac:dyDescent="0.3">
      <c r="A9" s="45"/>
      <c r="B9" s="43" t="s">
        <v>179</v>
      </c>
      <c r="C9" s="45"/>
      <c r="D9" s="49">
        <v>172.1</v>
      </c>
      <c r="E9" s="49">
        <v>20.3</v>
      </c>
      <c r="F9" s="49">
        <v>2.2999999999999998</v>
      </c>
      <c r="G9" s="49">
        <v>65.099999999999994</v>
      </c>
      <c r="H9" s="49">
        <v>5</v>
      </c>
      <c r="I9" s="49">
        <v>15.3</v>
      </c>
      <c r="J9" s="49">
        <v>49</v>
      </c>
      <c r="K9" s="49">
        <v>38.9</v>
      </c>
      <c r="L9" s="49">
        <v>368</v>
      </c>
    </row>
    <row r="10" spans="1:12" x14ac:dyDescent="0.3">
      <c r="A10" s="45"/>
      <c r="B10" s="43" t="s">
        <v>180</v>
      </c>
      <c r="C10" s="45"/>
      <c r="D10" s="49">
        <v>157.69999999999999</v>
      </c>
      <c r="E10" s="49">
        <v>23.5</v>
      </c>
      <c r="F10" s="49">
        <v>9.1</v>
      </c>
      <c r="G10" s="49">
        <v>80.900000000000006</v>
      </c>
      <c r="H10" s="49">
        <v>9.1999999999999993</v>
      </c>
      <c r="I10" s="49">
        <v>22.1</v>
      </c>
      <c r="J10" s="49">
        <v>78.3</v>
      </c>
      <c r="K10" s="49">
        <v>109.6</v>
      </c>
      <c r="L10" s="49">
        <v>490.4</v>
      </c>
    </row>
    <row r="11" spans="1:12" x14ac:dyDescent="0.3">
      <c r="A11" s="45"/>
      <c r="B11" s="43" t="s">
        <v>181</v>
      </c>
      <c r="C11" s="45"/>
      <c r="D11" s="49">
        <v>158</v>
      </c>
      <c r="E11" s="49">
        <v>26.2</v>
      </c>
      <c r="F11" s="49">
        <v>8.3000000000000007</v>
      </c>
      <c r="G11" s="49">
        <v>91.4</v>
      </c>
      <c r="H11" s="49">
        <v>10.8</v>
      </c>
      <c r="I11" s="49">
        <v>29</v>
      </c>
      <c r="J11" s="49">
        <v>93.3</v>
      </c>
      <c r="K11" s="49">
        <v>100.9</v>
      </c>
      <c r="L11" s="49">
        <v>517.9</v>
      </c>
    </row>
    <row r="12" spans="1:12" x14ac:dyDescent="0.3">
      <c r="A12" s="45"/>
      <c r="B12" s="43" t="s">
        <v>182</v>
      </c>
      <c r="C12" s="45"/>
      <c r="D12" s="49">
        <v>177.5</v>
      </c>
      <c r="E12" s="49">
        <v>26.6</v>
      </c>
      <c r="F12" s="49">
        <v>4.8</v>
      </c>
      <c r="G12" s="49">
        <v>106.4</v>
      </c>
      <c r="H12" s="49">
        <v>7.8</v>
      </c>
      <c r="I12" s="49">
        <v>30</v>
      </c>
      <c r="J12" s="49">
        <v>88.2</v>
      </c>
      <c r="K12" s="49">
        <v>91</v>
      </c>
      <c r="L12" s="49">
        <v>532.29999999999995</v>
      </c>
    </row>
    <row r="13" spans="1:12" x14ac:dyDescent="0.3">
      <c r="A13" s="45"/>
      <c r="B13" s="77" t="s">
        <v>184</v>
      </c>
      <c r="C13" s="45"/>
      <c r="D13" s="49">
        <v>78.2</v>
      </c>
      <c r="E13" s="49">
        <v>14.5</v>
      </c>
      <c r="F13" s="49">
        <v>4.7</v>
      </c>
      <c r="G13" s="49">
        <v>39.299999999999997</v>
      </c>
      <c r="H13" s="49">
        <v>6.5</v>
      </c>
      <c r="I13" s="49">
        <v>8.1999999999999993</v>
      </c>
      <c r="J13" s="49">
        <v>37.6</v>
      </c>
      <c r="K13" s="49">
        <v>23.8</v>
      </c>
      <c r="L13" s="49">
        <v>212.79999999999998</v>
      </c>
    </row>
    <row r="14" spans="1:12" x14ac:dyDescent="0.3">
      <c r="A14" s="45"/>
      <c r="B14" s="77" t="s">
        <v>186</v>
      </c>
      <c r="C14" s="45"/>
      <c r="D14" s="49">
        <v>97.1</v>
      </c>
      <c r="E14" s="49">
        <v>19</v>
      </c>
      <c r="F14" s="49">
        <v>8.6999999999999993</v>
      </c>
      <c r="G14" s="49">
        <v>72.3</v>
      </c>
      <c r="H14" s="49">
        <v>12.1</v>
      </c>
      <c r="I14" s="49">
        <v>11.6</v>
      </c>
      <c r="J14" s="49">
        <v>67.099999999999994</v>
      </c>
      <c r="K14" s="49">
        <v>65.099999999999994</v>
      </c>
      <c r="L14" s="49">
        <v>353</v>
      </c>
    </row>
    <row r="15" spans="1:12" x14ac:dyDescent="0.3">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3">
      <c r="A16" s="45"/>
      <c r="B16" s="46"/>
      <c r="C16" s="45"/>
      <c r="D16" s="72"/>
      <c r="E16" s="45"/>
      <c r="F16" s="45"/>
      <c r="G16" s="72"/>
      <c r="H16" s="45"/>
      <c r="I16" s="45"/>
      <c r="J16" s="45"/>
      <c r="K16" s="45"/>
    </row>
    <row r="17" spans="1:12" x14ac:dyDescent="0.3">
      <c r="A17" s="50" t="s">
        <v>13</v>
      </c>
      <c r="B17" s="46"/>
      <c r="C17" s="45"/>
      <c r="D17" s="72"/>
      <c r="E17" s="45"/>
      <c r="F17" s="72"/>
      <c r="G17" s="72"/>
      <c r="H17" s="45"/>
      <c r="I17" s="45"/>
      <c r="J17" s="45"/>
      <c r="K17" s="45"/>
    </row>
    <row r="18" spans="1:12" x14ac:dyDescent="0.3">
      <c r="A18" s="45" t="s">
        <v>14</v>
      </c>
      <c r="B18" s="43" t="s">
        <v>176</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3">
      <c r="A19" s="45" t="s">
        <v>15</v>
      </c>
      <c r="B19" s="43" t="s">
        <v>177</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3">
      <c r="A20" s="45" t="s">
        <v>16</v>
      </c>
      <c r="B20" s="43" t="s">
        <v>178</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3">
      <c r="A21" s="45" t="s">
        <v>17</v>
      </c>
      <c r="B21" s="43" t="s">
        <v>179</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3">
      <c r="A22" s="45" t="s">
        <v>18</v>
      </c>
      <c r="B22" s="43" t="s">
        <v>180</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3">
      <c r="A23" s="45" t="s">
        <v>19</v>
      </c>
      <c r="B23" s="43" t="s">
        <v>181</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3">
      <c r="A24" s="45" t="s">
        <v>20</v>
      </c>
      <c r="B24" s="43" t="s">
        <v>182</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3">
      <c r="A25" s="45" t="s">
        <v>183</v>
      </c>
      <c r="B25" s="77" t="s">
        <v>184</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3">
      <c r="A26" s="45" t="s">
        <v>185</v>
      </c>
      <c r="B26" s="77" t="s">
        <v>186</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3">
      <c r="D27" s="76"/>
      <c r="E27" s="76"/>
      <c r="F27" s="76"/>
      <c r="G27" s="76"/>
      <c r="H27" s="76"/>
      <c r="I27" s="76"/>
      <c r="J27" s="76"/>
      <c r="K27" s="76"/>
      <c r="L27" s="76"/>
    </row>
    <row r="28" spans="1:12" x14ac:dyDescent="0.3">
      <c r="D28" s="76"/>
      <c r="E28" s="76"/>
      <c r="F28" s="76"/>
      <c r="G28" s="76"/>
      <c r="H28" s="76"/>
      <c r="I28" s="76"/>
      <c r="J28" s="76"/>
      <c r="K28" s="76"/>
    </row>
    <row r="29" spans="1:12" x14ac:dyDescent="0.3">
      <c r="D29" s="76"/>
      <c r="E29" s="76"/>
      <c r="F29" s="76"/>
      <c r="G29" s="76"/>
      <c r="H29" s="76"/>
      <c r="I29" s="76"/>
      <c r="J29" s="76"/>
      <c r="K29" s="76"/>
    </row>
    <row r="30" spans="1:12" x14ac:dyDescent="0.3">
      <c r="D30" s="76"/>
      <c r="E30" s="76"/>
      <c r="F30" s="76"/>
      <c r="G30" s="76"/>
      <c r="H30" s="76"/>
      <c r="I30" s="76"/>
      <c r="J30" s="76"/>
      <c r="K30" s="76"/>
    </row>
    <row r="31" spans="1:12" x14ac:dyDescent="0.3">
      <c r="D31" s="76"/>
      <c r="E31" s="76"/>
      <c r="F31" s="76"/>
      <c r="G31" s="76"/>
      <c r="H31" s="76"/>
      <c r="I31" s="76"/>
      <c r="J31" s="76"/>
      <c r="K31" s="76"/>
    </row>
    <row r="32" spans="1:12" x14ac:dyDescent="0.3">
      <c r="D32" s="76"/>
      <c r="E32" s="76"/>
      <c r="F32" s="76"/>
      <c r="G32" s="76"/>
      <c r="H32" s="76"/>
      <c r="I32" s="76"/>
      <c r="J32" s="76"/>
      <c r="K32" s="76"/>
    </row>
    <row r="33" spans="4:12" x14ac:dyDescent="0.3">
      <c r="D33" s="76"/>
      <c r="E33" s="76"/>
      <c r="F33" s="76"/>
      <c r="G33" s="76"/>
      <c r="H33" s="76"/>
      <c r="I33" s="76"/>
      <c r="J33" s="76"/>
      <c r="K33" s="76"/>
    </row>
    <row r="34" spans="4:12" x14ac:dyDescent="0.3">
      <c r="D34" s="76"/>
      <c r="E34" s="76"/>
      <c r="F34" s="76"/>
      <c r="G34" s="76"/>
      <c r="H34" s="76"/>
      <c r="I34" s="76"/>
      <c r="J34" s="76"/>
      <c r="K34" s="76"/>
    </row>
    <row r="35" spans="4:12" x14ac:dyDescent="0.3">
      <c r="D35" s="76"/>
      <c r="E35" s="76"/>
      <c r="F35" s="76"/>
      <c r="G35" s="76"/>
      <c r="H35" s="76"/>
      <c r="I35" s="76"/>
      <c r="J35" s="76"/>
      <c r="K35" s="76"/>
    </row>
    <row r="36" spans="4:12" x14ac:dyDescent="0.3">
      <c r="D36" s="76"/>
      <c r="E36" s="76"/>
      <c r="F36" s="76"/>
      <c r="G36" s="76"/>
      <c r="H36" s="76"/>
      <c r="I36" s="76"/>
      <c r="J36" s="76"/>
      <c r="K36" s="76"/>
    </row>
    <row r="37" spans="4:12" x14ac:dyDescent="0.3">
      <c r="D37" s="76"/>
      <c r="E37" s="76"/>
      <c r="F37" s="76"/>
      <c r="G37" s="76"/>
      <c r="H37" s="76"/>
      <c r="I37" s="76"/>
      <c r="J37" s="76"/>
      <c r="K37" s="76"/>
    </row>
    <row r="38" spans="4:12" x14ac:dyDescent="0.3">
      <c r="D38" s="76"/>
      <c r="E38" s="76"/>
      <c r="F38" s="76"/>
      <c r="G38" s="76"/>
      <c r="H38" s="76"/>
      <c r="I38" s="76"/>
      <c r="J38" s="76"/>
      <c r="K38" s="76"/>
      <c r="L38" s="76"/>
    </row>
    <row r="39" spans="4:12" x14ac:dyDescent="0.3">
      <c r="D39" s="76"/>
      <c r="E39" s="76"/>
      <c r="F39" s="76"/>
      <c r="G39" s="76"/>
      <c r="H39" s="76"/>
      <c r="I39" s="76"/>
      <c r="J39" s="76"/>
      <c r="K39" s="76"/>
      <c r="L39" s="76"/>
    </row>
    <row r="40" spans="4:12" x14ac:dyDescent="0.3">
      <c r="D40" s="76"/>
      <c r="E40" s="76"/>
      <c r="F40" s="76"/>
      <c r="G40" s="76"/>
      <c r="H40" s="76"/>
      <c r="I40" s="76"/>
      <c r="J40" s="76"/>
      <c r="K40" s="76"/>
      <c r="L40" s="76"/>
    </row>
    <row r="41" spans="4:12" x14ac:dyDescent="0.3">
      <c r="D41" s="76"/>
      <c r="E41" s="76"/>
      <c r="F41" s="76"/>
      <c r="G41" s="76"/>
      <c r="H41" s="76"/>
      <c r="I41" s="76"/>
      <c r="J41" s="76"/>
      <c r="K41" s="76"/>
      <c r="L41" s="76"/>
    </row>
    <row r="42" spans="4:12" x14ac:dyDescent="0.3">
      <c r="D42" s="76"/>
      <c r="E42" s="76"/>
      <c r="F42" s="76"/>
      <c r="G42" s="76"/>
      <c r="H42" s="76"/>
      <c r="I42" s="76"/>
      <c r="J42" s="76"/>
      <c r="K42" s="76"/>
      <c r="L42" s="76"/>
    </row>
    <row r="43" spans="4:12" x14ac:dyDescent="0.3">
      <c r="D43" s="76"/>
      <c r="E43" s="76"/>
      <c r="F43" s="76"/>
      <c r="G43" s="76"/>
      <c r="H43" s="76"/>
      <c r="I43" s="76"/>
      <c r="J43" s="76"/>
      <c r="K43" s="76"/>
      <c r="L43" s="76"/>
    </row>
    <row r="44" spans="4:12" x14ac:dyDescent="0.3">
      <c r="D44" s="76"/>
      <c r="E44" s="76"/>
      <c r="F44" s="76"/>
      <c r="G44" s="76"/>
      <c r="H44" s="76"/>
      <c r="I44" s="76"/>
      <c r="J44" s="76"/>
      <c r="K44" s="76"/>
      <c r="L44" s="76"/>
    </row>
    <row r="45" spans="4:12" x14ac:dyDescent="0.3">
      <c r="D45" s="76"/>
      <c r="E45" s="76"/>
      <c r="F45" s="76"/>
      <c r="G45" s="76"/>
      <c r="H45" s="76"/>
      <c r="I45" s="76"/>
      <c r="J45" s="76"/>
      <c r="K45" s="76"/>
      <c r="L45" s="76"/>
    </row>
    <row r="46" spans="4:12" x14ac:dyDescent="0.3">
      <c r="D46" s="76"/>
      <c r="E46" s="76"/>
      <c r="F46" s="76"/>
      <c r="G46" s="76"/>
      <c r="H46" s="76"/>
      <c r="I46" s="76"/>
      <c r="J46" s="76"/>
      <c r="K46" s="76"/>
      <c r="L46" s="76"/>
    </row>
    <row r="47" spans="4:12" x14ac:dyDescent="0.3">
      <c r="D47" s="76"/>
      <c r="E47" s="76"/>
      <c r="F47" s="76"/>
      <c r="G47" s="76"/>
      <c r="H47" s="76"/>
      <c r="I47" s="76"/>
      <c r="J47" s="76"/>
      <c r="K47" s="76"/>
      <c r="L47" s="76"/>
    </row>
    <row r="48" spans="4:12" x14ac:dyDescent="0.3">
      <c r="D48" s="76"/>
      <c r="E48" s="76"/>
      <c r="F48" s="76"/>
      <c r="G48" s="76"/>
      <c r="H48" s="76"/>
      <c r="I48" s="76"/>
      <c r="J48" s="76"/>
      <c r="K48" s="76"/>
      <c r="L48" s="76"/>
    </row>
    <row r="49" spans="4:11" x14ac:dyDescent="0.3">
      <c r="D49" s="76"/>
      <c r="E49" s="76"/>
      <c r="F49" s="76"/>
      <c r="G49" s="76"/>
      <c r="H49" s="76"/>
      <c r="I49" s="76"/>
      <c r="J49" s="76"/>
      <c r="K49" s="76"/>
    </row>
    <row r="50" spans="4:11" x14ac:dyDescent="0.3">
      <c r="D50" s="76"/>
      <c r="E50" s="76"/>
      <c r="F50" s="76"/>
      <c r="G50" s="76"/>
      <c r="H50" s="76"/>
      <c r="I50" s="76"/>
      <c r="J50" s="76"/>
      <c r="K50" s="76"/>
    </row>
    <row r="51" spans="4:11" x14ac:dyDescent="0.3">
      <c r="D51" s="76"/>
      <c r="E51" s="76"/>
      <c r="F51" s="76"/>
      <c r="G51" s="76"/>
      <c r="H51" s="76"/>
      <c r="I51" s="76"/>
      <c r="J51" s="76"/>
      <c r="K51" s="76"/>
    </row>
    <row r="52" spans="4:11" x14ac:dyDescent="0.3">
      <c r="D52" s="76"/>
    </row>
    <row r="54" spans="4:11" x14ac:dyDescent="0.3">
      <c r="D54" s="76"/>
      <c r="E54" s="76"/>
      <c r="F54" s="76"/>
      <c r="G54" s="76"/>
      <c r="H54" s="76"/>
      <c r="I54" s="76"/>
      <c r="J54" s="76"/>
      <c r="K54" s="76"/>
    </row>
    <row r="55" spans="4:11" x14ac:dyDescent="0.3">
      <c r="D55" s="76"/>
      <c r="E55" s="76"/>
      <c r="F55" s="76"/>
      <c r="G55" s="76"/>
      <c r="H55" s="76"/>
      <c r="I55" s="76"/>
      <c r="J55" s="76"/>
      <c r="K55" s="76"/>
    </row>
    <row r="56" spans="4:11" x14ac:dyDescent="0.3">
      <c r="D56" s="76"/>
      <c r="E56" s="76"/>
      <c r="F56" s="76"/>
      <c r="G56" s="76"/>
      <c r="H56" s="76"/>
      <c r="I56" s="76"/>
      <c r="J56" s="76"/>
      <c r="K56" s="76"/>
    </row>
    <row r="57" spans="4:11" x14ac:dyDescent="0.3">
      <c r="D57" s="76"/>
      <c r="E57" s="76"/>
      <c r="F57" s="76"/>
      <c r="G57" s="76"/>
      <c r="H57" s="76"/>
      <c r="I57" s="76"/>
      <c r="J57" s="76"/>
      <c r="K57" s="76"/>
    </row>
    <row r="58" spans="4:11" x14ac:dyDescent="0.3">
      <c r="D58" s="76"/>
      <c r="E58" s="76"/>
      <c r="F58" s="76"/>
      <c r="G58" s="76"/>
      <c r="H58" s="76"/>
      <c r="I58" s="76"/>
      <c r="J58" s="76"/>
      <c r="K58" s="76"/>
    </row>
    <row r="59" spans="4:11" x14ac:dyDescent="0.3">
      <c r="D59" s="76"/>
      <c r="E59" s="76"/>
      <c r="F59" s="76"/>
      <c r="G59" s="76"/>
      <c r="H59" s="76"/>
      <c r="I59" s="76"/>
      <c r="J59" s="76"/>
      <c r="K59" s="76"/>
    </row>
    <row r="60" spans="4:11" x14ac:dyDescent="0.3">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4.4" x14ac:dyDescent="0.3"/>
  <cols>
    <col min="1" max="1" width="27.6640625" bestFit="1" customWidth="1"/>
    <col min="2" max="2" width="14" bestFit="1" customWidth="1"/>
    <col min="3" max="3" width="11.109375" bestFit="1" customWidth="1"/>
    <col min="5" max="5" width="13" customWidth="1"/>
    <col min="7" max="7" width="10.88671875" bestFit="1" customWidth="1"/>
    <col min="9" max="9" width="10.88671875" bestFit="1" customWidth="1"/>
  </cols>
  <sheetData>
    <row r="1" spans="1:9" x14ac:dyDescent="0.3">
      <c r="A1" s="55"/>
      <c r="B1" s="56" t="s">
        <v>0</v>
      </c>
      <c r="C1" s="55"/>
      <c r="D1" s="55"/>
      <c r="E1" s="56" t="s">
        <v>1</v>
      </c>
      <c r="G1" s="56" t="s">
        <v>196</v>
      </c>
      <c r="I1" s="56" t="s">
        <v>197</v>
      </c>
    </row>
    <row r="2" spans="1:9" ht="15.6" x14ac:dyDescent="0.3">
      <c r="A2" s="113" t="s">
        <v>191</v>
      </c>
      <c r="B2" s="58">
        <f>SUM(Income!F12)</f>
        <v>0</v>
      </c>
      <c r="C2" s="55"/>
      <c r="D2" s="55"/>
      <c r="E2" s="58">
        <f>SUM(Income!H12)</f>
        <v>0</v>
      </c>
      <c r="G2" s="58">
        <f>SUM(Income!J12)</f>
        <v>0</v>
      </c>
      <c r="I2" s="58">
        <f>SUM(Income!L12)</f>
        <v>0</v>
      </c>
    </row>
    <row r="3" spans="1:9" ht="15.6" x14ac:dyDescent="0.3">
      <c r="A3" s="57" t="s">
        <v>54</v>
      </c>
      <c r="B3" s="58">
        <f>SUM(Income!F6+Income!F8)</f>
        <v>0</v>
      </c>
      <c r="C3" s="58"/>
      <c r="D3" s="58"/>
      <c r="E3" s="58">
        <f>SUM(Income!H6+Income!H8)</f>
        <v>0</v>
      </c>
      <c r="G3" s="58">
        <f>SUM(Income!J6+Income!J8)</f>
        <v>0</v>
      </c>
      <c r="I3" s="58">
        <f>SUM(Income!L6+Income!L8)</f>
        <v>0</v>
      </c>
    </row>
    <row r="4" spans="1:9" ht="15.6" x14ac:dyDescent="0.3">
      <c r="A4" s="57" t="s">
        <v>206</v>
      </c>
      <c r="B4" s="58">
        <f>SUM(Income!F6)</f>
        <v>0</v>
      </c>
      <c r="C4" s="58"/>
      <c r="D4" s="58"/>
      <c r="E4" s="58">
        <f>SUM(Income!H6)</f>
        <v>0</v>
      </c>
      <c r="G4" s="58">
        <f>SUM(Income!J6)</f>
        <v>0</v>
      </c>
      <c r="I4" s="58">
        <f>SUM(Income!L6)</f>
        <v>0</v>
      </c>
    </row>
    <row r="5" spans="1:9" x14ac:dyDescent="0.3">
      <c r="A5" s="55"/>
      <c r="B5" s="58"/>
      <c r="C5" s="58"/>
      <c r="D5" s="58"/>
      <c r="E5" s="58"/>
      <c r="G5" s="58"/>
      <c r="I5" s="58"/>
    </row>
    <row r="6" spans="1:9" x14ac:dyDescent="0.3">
      <c r="A6" s="55" t="s">
        <v>2</v>
      </c>
      <c r="B6">
        <f>IF(B$3&lt;=0,0,IF(B$3&lt;=$B$33,$B$30,($B$30-((B$3-$B$33)/2))))</f>
        <v>0</v>
      </c>
      <c r="E6">
        <f>IF(E$3&lt;=0,0,IF(E$3&lt;=$B$33,$B$30,($B$30-((E$3-$B$33)/2))))</f>
        <v>0</v>
      </c>
      <c r="G6">
        <f>IF(G$3&lt;=0,0,IF(G$3&lt;=$B$33,$B$30,($B$30-((G$3-$B$33)/2))))</f>
        <v>0</v>
      </c>
      <c r="I6">
        <f>IF(I$3&lt;=0,0,IF(I$3&lt;=$B$33,$B$30,($B$30-((I$3-$B$33)/2))))</f>
        <v>0</v>
      </c>
    </row>
    <row r="7" spans="1:9" x14ac:dyDescent="0.3">
      <c r="A7" s="59" t="s">
        <v>139</v>
      </c>
      <c r="B7" s="60">
        <f>IF(B6&lt;0,0,B6)</f>
        <v>0</v>
      </c>
      <c r="C7" s="60"/>
      <c r="D7" s="60"/>
      <c r="E7" s="60">
        <f>IF(E6&lt;0,0,E6)</f>
        <v>0</v>
      </c>
      <c r="G7" s="60">
        <f>IF(G6&lt;0,0,G6)</f>
        <v>0</v>
      </c>
      <c r="I7" s="60">
        <f>IF(I6&lt;0,0,I6)</f>
        <v>0</v>
      </c>
    </row>
    <row r="8" spans="1:9" x14ac:dyDescent="0.3">
      <c r="A8" s="55" t="s">
        <v>54</v>
      </c>
      <c r="B8" s="58">
        <f>IF(B3&lt;=B7,0,SUM(B3-B7))</f>
        <v>0</v>
      </c>
      <c r="C8" s="58"/>
      <c r="D8" s="58"/>
      <c r="E8" s="58">
        <f>IF(E3&lt;=E7,0,SUM(E3-E7))</f>
        <v>0</v>
      </c>
      <c r="G8" s="58">
        <f>IF(G3&lt;=G7,0,SUM(G3-G7))</f>
        <v>0</v>
      </c>
      <c r="I8" s="58">
        <f>IF(I3&lt;=I7,0,SUM(I3-I7))</f>
        <v>0</v>
      </c>
    </row>
    <row r="9" spans="1:9" x14ac:dyDescent="0.3">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3">
      <c r="A10" s="59" t="s">
        <v>139</v>
      </c>
      <c r="B10" s="60">
        <f>IF(B9&lt;0,0,B9)</f>
        <v>0</v>
      </c>
      <c r="C10" s="61"/>
      <c r="D10" s="61"/>
      <c r="E10" s="60">
        <f>IF(E9&lt;0,0,E9)</f>
        <v>0</v>
      </c>
      <c r="G10" s="60">
        <f>IF(G9&lt;0,0,G9)</f>
        <v>0</v>
      </c>
      <c r="I10" s="60">
        <f>IF(I9&lt;0,0,I9)</f>
        <v>0</v>
      </c>
    </row>
    <row r="11" spans="1:9" x14ac:dyDescent="0.3">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3">
      <c r="A12" s="55"/>
      <c r="B12" s="55"/>
      <c r="C12" s="55"/>
      <c r="D12" s="55"/>
      <c r="E12" s="55"/>
      <c r="G12" s="55"/>
      <c r="I12" s="55"/>
    </row>
    <row r="13" spans="1:9" x14ac:dyDescent="0.3">
      <c r="A13" s="55" t="s">
        <v>56</v>
      </c>
      <c r="B13" s="58">
        <f>MIN($C$30,B8)</f>
        <v>0</v>
      </c>
      <c r="C13" s="55"/>
      <c r="D13" s="55"/>
      <c r="E13" s="58">
        <f>MIN($C$30,E8)</f>
        <v>0</v>
      </c>
      <c r="G13" s="58">
        <f>MIN($C$30,G8)</f>
        <v>0</v>
      </c>
      <c r="I13" s="58">
        <f>MIN($C$30,I8)</f>
        <v>0</v>
      </c>
    </row>
    <row r="14" spans="1:9" x14ac:dyDescent="0.3">
      <c r="A14" s="55" t="s">
        <v>55</v>
      </c>
      <c r="B14" s="62">
        <f>SUM(B13*$D$30)</f>
        <v>0</v>
      </c>
      <c r="C14" s="55"/>
      <c r="D14" s="55"/>
      <c r="E14" s="62">
        <f>SUM(E13*$D$30)</f>
        <v>0</v>
      </c>
      <c r="G14" s="62">
        <f>SUM(G13*$D$30)</f>
        <v>0</v>
      </c>
      <c r="I14" s="62">
        <f>SUM(I13*$D$30)</f>
        <v>0</v>
      </c>
    </row>
    <row r="15" spans="1:9" x14ac:dyDescent="0.3">
      <c r="A15" s="55" t="s">
        <v>59</v>
      </c>
      <c r="B15" s="58">
        <f>MIN($C$31,B8)-B13</f>
        <v>0</v>
      </c>
      <c r="C15" s="55"/>
      <c r="D15" s="55"/>
      <c r="E15" s="58">
        <f>MIN($C$31,E8)-E13</f>
        <v>0</v>
      </c>
      <c r="G15" s="58">
        <f>MIN($C$31,G8)-G13</f>
        <v>0</v>
      </c>
      <c r="I15" s="58">
        <f>MIN($C$31,I8)-I13</f>
        <v>0</v>
      </c>
    </row>
    <row r="16" spans="1:9" x14ac:dyDescent="0.3">
      <c r="A16" s="55" t="s">
        <v>57</v>
      </c>
      <c r="B16" s="62">
        <f>SUM(B15*$D$31)</f>
        <v>0</v>
      </c>
      <c r="C16" s="55"/>
      <c r="D16" s="55"/>
      <c r="E16" s="62">
        <f>SUM(E15*$D$31)</f>
        <v>0</v>
      </c>
      <c r="G16" s="62">
        <f>SUM(G15*$D$31)</f>
        <v>0</v>
      </c>
      <c r="I16" s="62">
        <f>SUM(I15*$D$31)</f>
        <v>0</v>
      </c>
    </row>
    <row r="17" spans="1:9" x14ac:dyDescent="0.3">
      <c r="A17" s="55" t="s">
        <v>60</v>
      </c>
      <c r="B17" s="58">
        <f>MIN($B38,B8)-B13-B15</f>
        <v>0</v>
      </c>
      <c r="C17" s="58"/>
      <c r="D17" s="55"/>
      <c r="E17" s="58">
        <f>MIN($B38,E8)-E13-E15</f>
        <v>0</v>
      </c>
      <c r="G17" s="58">
        <f>MIN($B38,G8)-G13-G15</f>
        <v>0</v>
      </c>
      <c r="I17" s="58">
        <f>MIN($B38,I8)-I13-I15</f>
        <v>0</v>
      </c>
    </row>
    <row r="18" spans="1:9" x14ac:dyDescent="0.3">
      <c r="A18" s="63" t="s">
        <v>58</v>
      </c>
      <c r="B18" s="62">
        <f>SUM(B17*$D$32)</f>
        <v>0</v>
      </c>
      <c r="C18" s="55"/>
      <c r="D18" s="55"/>
      <c r="E18" s="62">
        <f>SUM(E17*$D$32)</f>
        <v>0</v>
      </c>
      <c r="G18" s="62">
        <f>SUM(G17*$D$32)</f>
        <v>0</v>
      </c>
      <c r="I18" s="62">
        <f>SUM(I17*$D$32)</f>
        <v>0</v>
      </c>
    </row>
    <row r="19" spans="1:9" x14ac:dyDescent="0.3">
      <c r="A19" s="63"/>
      <c r="B19" s="58"/>
      <c r="C19" s="55"/>
      <c r="D19" s="55"/>
      <c r="E19" s="58"/>
      <c r="G19" s="58"/>
      <c r="I19" s="58"/>
    </row>
    <row r="20" spans="1:9" x14ac:dyDescent="0.3">
      <c r="A20" s="55" t="s">
        <v>61</v>
      </c>
      <c r="B20" s="58">
        <f>SUM(B14+B16+B18)</f>
        <v>0</v>
      </c>
      <c r="C20" s="55"/>
      <c r="D20" s="55"/>
      <c r="E20" s="58">
        <f>SUM(E14+E16+E18)</f>
        <v>0</v>
      </c>
      <c r="G20" s="58">
        <f>SUM(G14+G16+G18)</f>
        <v>0</v>
      </c>
      <c r="I20" s="58">
        <f>SUM(I14+I16+I18)</f>
        <v>0</v>
      </c>
    </row>
    <row r="21" spans="1:9" x14ac:dyDescent="0.3">
      <c r="A21" s="63" t="s">
        <v>62</v>
      </c>
      <c r="B21" s="58">
        <f>IF(B4&gt;$B37,B11,B10)</f>
        <v>0</v>
      </c>
      <c r="C21" s="55"/>
      <c r="D21" s="55"/>
      <c r="E21" s="58">
        <f>IF(E4&gt;$B37,E11,E10)</f>
        <v>0</v>
      </c>
      <c r="G21" s="58">
        <f>IF(G4&gt;$B37,G11,G10)</f>
        <v>0</v>
      </c>
      <c r="I21" s="58">
        <f>IF(I4&gt;$B37,I11,I10)</f>
        <v>0</v>
      </c>
    </row>
    <row r="22" spans="1:9" x14ac:dyDescent="0.3">
      <c r="A22" s="55"/>
      <c r="C22" s="55"/>
      <c r="D22" s="55"/>
      <c r="E22" s="58"/>
      <c r="G22" s="58"/>
      <c r="I22" s="58"/>
    </row>
    <row r="23" spans="1:9" x14ac:dyDescent="0.3">
      <c r="A23" s="64" t="s">
        <v>3</v>
      </c>
      <c r="B23" s="65">
        <f>SUM(B20:B21)</f>
        <v>0</v>
      </c>
      <c r="C23" s="55"/>
      <c r="D23" s="55"/>
      <c r="E23" s="65">
        <f>SUM(E20:E21)</f>
        <v>0</v>
      </c>
      <c r="G23" s="65">
        <f>SUM(G20:G21)</f>
        <v>0</v>
      </c>
      <c r="I23" s="65">
        <f>SUM(I20:I21)</f>
        <v>0</v>
      </c>
    </row>
    <row r="24" spans="1:9" x14ac:dyDescent="0.3">
      <c r="A24" s="55"/>
      <c r="B24" s="55"/>
      <c r="C24" s="55"/>
      <c r="D24" s="55"/>
      <c r="E24" s="55"/>
      <c r="G24" s="55"/>
      <c r="I24" s="55"/>
    </row>
    <row r="25" spans="1:9" x14ac:dyDescent="0.3">
      <c r="A25" s="66" t="s">
        <v>4</v>
      </c>
      <c r="B25" s="65">
        <f>IF(B2&gt;0,(B2-B23)/12,0)</f>
        <v>0</v>
      </c>
      <c r="C25" s="55"/>
      <c r="D25" s="55"/>
      <c r="E25" s="65">
        <f>IF(E2&gt;0,(E2-E23)/12,0)</f>
        <v>0</v>
      </c>
      <c r="G25" s="65">
        <f>IF(G2&gt;0,(G2-G23)/12,0)</f>
        <v>0</v>
      </c>
      <c r="I25" s="65">
        <f>IF(I2&gt;0,(I2-I23)/12,0)</f>
        <v>0</v>
      </c>
    </row>
    <row r="28" spans="1:9" x14ac:dyDescent="0.3">
      <c r="A28" s="8" t="s">
        <v>167</v>
      </c>
    </row>
    <row r="29" spans="1:9" x14ac:dyDescent="0.3">
      <c r="A29" t="s">
        <v>168</v>
      </c>
      <c r="B29" s="73">
        <v>0</v>
      </c>
      <c r="C29" s="73">
        <f>B30-B29</f>
        <v>12570</v>
      </c>
      <c r="D29" s="74">
        <v>0</v>
      </c>
    </row>
    <row r="30" spans="1:9" x14ac:dyDescent="0.3">
      <c r="A30" t="s">
        <v>169</v>
      </c>
      <c r="B30" s="73">
        <v>12570</v>
      </c>
      <c r="C30" s="73">
        <f>B31-B30</f>
        <v>37700</v>
      </c>
      <c r="D30" s="74">
        <v>0.2</v>
      </c>
    </row>
    <row r="31" spans="1:9" x14ac:dyDescent="0.3">
      <c r="A31" t="s">
        <v>170</v>
      </c>
      <c r="B31" s="73">
        <v>50270</v>
      </c>
      <c r="C31" s="73">
        <f>B32</f>
        <v>125140</v>
      </c>
      <c r="D31" s="74">
        <v>0.4</v>
      </c>
    </row>
    <row r="32" spans="1:9" x14ac:dyDescent="0.3">
      <c r="A32" t="s">
        <v>171</v>
      </c>
      <c r="B32" s="73">
        <v>125140</v>
      </c>
      <c r="C32" s="73"/>
      <c r="D32" s="74">
        <v>0.45</v>
      </c>
    </row>
    <row r="33" spans="1:4" x14ac:dyDescent="0.3">
      <c r="A33" t="s">
        <v>172</v>
      </c>
      <c r="B33" s="73">
        <v>100000</v>
      </c>
      <c r="C33" s="73"/>
      <c r="D33" s="75">
        <v>2</v>
      </c>
    </row>
    <row r="35" spans="1:4" x14ac:dyDescent="0.3">
      <c r="A35" s="8" t="s">
        <v>173</v>
      </c>
    </row>
    <row r="36" spans="1:4" x14ac:dyDescent="0.3">
      <c r="A36" t="s">
        <v>174</v>
      </c>
      <c r="B36" s="73">
        <v>12570</v>
      </c>
      <c r="C36" s="73">
        <f>B36</f>
        <v>12570</v>
      </c>
      <c r="D36" s="74">
        <v>0</v>
      </c>
    </row>
    <row r="37" spans="1:4" x14ac:dyDescent="0.3">
      <c r="A37" t="s">
        <v>169</v>
      </c>
      <c r="B37" s="73">
        <v>50270</v>
      </c>
      <c r="C37" s="73">
        <f>B37-B36</f>
        <v>37700</v>
      </c>
      <c r="D37" s="124">
        <v>0.08</v>
      </c>
    </row>
    <row r="38" spans="1:4" x14ac:dyDescent="0.3">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4.4" x14ac:dyDescent="0.3"/>
  <cols>
    <col min="6" max="6" width="11.5546875" bestFit="1" customWidth="1"/>
  </cols>
  <sheetData>
    <row r="1" spans="1:6" ht="15" thickBot="1" x14ac:dyDescent="0.35">
      <c r="A1" s="28">
        <f>SUM(Results!H20/Calc!F3)</f>
        <v>0</v>
      </c>
    </row>
    <row r="2" spans="1:6" ht="15" thickBot="1" x14ac:dyDescent="0.35">
      <c r="A2" s="2" t="s">
        <v>21</v>
      </c>
      <c r="B2" s="1"/>
      <c r="C2" s="1"/>
      <c r="D2" s="1"/>
      <c r="E2" s="1"/>
      <c r="F2" s="3">
        <f>IF(Expenditure!F32&gt;=Expenditure!M32,Expenditure!F32,Expenditure!M32)</f>
        <v>731.03333333333342</v>
      </c>
    </row>
    <row r="3" spans="1:6" ht="16.2" thickBot="1" x14ac:dyDescent="0.35">
      <c r="A3" s="2" t="s">
        <v>22</v>
      </c>
      <c r="B3" s="1"/>
      <c r="C3" s="1"/>
      <c r="D3" s="1"/>
      <c r="E3" s="1"/>
      <c r="F3" s="4">
        <f>SUM(Income!F14+Income!H14+Income!J14+Income!L14)-Calc!F2</f>
        <v>-731.03333333333342</v>
      </c>
    </row>
    <row r="6" spans="1:6" x14ac:dyDescent="0.3">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09375" defaultRowHeight="14.4" x14ac:dyDescent="0.3"/>
  <cols>
    <col min="4" max="4" width="40.33203125" customWidth="1"/>
  </cols>
  <sheetData>
    <row r="1" spans="1:17" ht="18" x14ac:dyDescent="0.35">
      <c r="A1" s="35" t="s">
        <v>67</v>
      </c>
    </row>
    <row r="3" spans="1:17" x14ac:dyDescent="0.3">
      <c r="A3" s="84" t="s">
        <v>190</v>
      </c>
      <c r="E3" s="114" t="s">
        <v>195</v>
      </c>
    </row>
    <row r="4" spans="1:17" x14ac:dyDescent="0.3">
      <c r="A4" s="84" t="s">
        <v>189</v>
      </c>
      <c r="E4" s="143" t="s">
        <v>194</v>
      </c>
      <c r="F4" s="143"/>
      <c r="G4" s="143"/>
      <c r="H4" s="143"/>
      <c r="I4" s="143"/>
      <c r="J4" s="143"/>
      <c r="K4" s="143"/>
      <c r="L4" s="143"/>
      <c r="M4" s="143"/>
      <c r="N4" s="143"/>
      <c r="O4" s="143"/>
      <c r="P4" s="143"/>
      <c r="Q4" s="143"/>
    </row>
    <row r="5" spans="1:17" x14ac:dyDescent="0.3">
      <c r="A5" s="84"/>
      <c r="E5" s="143"/>
      <c r="F5" s="143"/>
      <c r="G5" s="143"/>
      <c r="H5" s="143"/>
      <c r="I5" s="143"/>
      <c r="J5" s="143"/>
      <c r="K5" s="143"/>
      <c r="L5" s="143"/>
      <c r="M5" s="143"/>
      <c r="N5" s="143"/>
      <c r="O5" s="143"/>
      <c r="P5" s="143"/>
      <c r="Q5" s="143"/>
    </row>
    <row r="6" spans="1:17" x14ac:dyDescent="0.3">
      <c r="A6" s="84" t="s">
        <v>48</v>
      </c>
      <c r="E6" s="115" t="s">
        <v>68</v>
      </c>
    </row>
    <row r="7" spans="1:17" x14ac:dyDescent="0.3">
      <c r="A7" s="8" t="s">
        <v>192</v>
      </c>
      <c r="E7" s="115" t="s">
        <v>69</v>
      </c>
    </row>
    <row r="8" spans="1:17" x14ac:dyDescent="0.3">
      <c r="A8" s="8" t="s">
        <v>49</v>
      </c>
      <c r="E8" s="115" t="s">
        <v>70</v>
      </c>
    </row>
    <row r="11" spans="1:17" ht="18" x14ac:dyDescent="0.35">
      <c r="A11" s="35" t="s">
        <v>75</v>
      </c>
    </row>
    <row r="13" spans="1:17" x14ac:dyDescent="0.3">
      <c r="A13" s="84" t="s">
        <v>34</v>
      </c>
    </row>
    <row r="14" spans="1:17" x14ac:dyDescent="0.3">
      <c r="A14" s="107" t="s">
        <v>63</v>
      </c>
      <c r="E14" t="s">
        <v>158</v>
      </c>
    </row>
    <row r="15" spans="1:17" x14ac:dyDescent="0.3">
      <c r="A15" s="107" t="s">
        <v>43</v>
      </c>
      <c r="E15" t="s">
        <v>71</v>
      </c>
    </row>
    <row r="16" spans="1:17" x14ac:dyDescent="0.3">
      <c r="A16" s="107" t="s">
        <v>44</v>
      </c>
      <c r="E16" t="s">
        <v>72</v>
      </c>
    </row>
    <row r="17" spans="1:5" x14ac:dyDescent="0.3">
      <c r="A17" s="107" t="s">
        <v>73</v>
      </c>
      <c r="E17" t="s">
        <v>74</v>
      </c>
    </row>
    <row r="18" spans="1:5" x14ac:dyDescent="0.3">
      <c r="A18" s="107" t="s">
        <v>35</v>
      </c>
      <c r="E18" t="s">
        <v>76</v>
      </c>
    </row>
    <row r="19" spans="1:5" x14ac:dyDescent="0.3">
      <c r="A19" s="107" t="s">
        <v>36</v>
      </c>
      <c r="E19" t="s">
        <v>78</v>
      </c>
    </row>
    <row r="21" spans="1:5" x14ac:dyDescent="0.3">
      <c r="A21" s="84" t="s">
        <v>38</v>
      </c>
    </row>
    <row r="22" spans="1:5" x14ac:dyDescent="0.3">
      <c r="A22" s="107" t="s">
        <v>160</v>
      </c>
      <c r="E22" t="s">
        <v>161</v>
      </c>
    </row>
    <row r="23" spans="1:5" x14ac:dyDescent="0.3">
      <c r="A23" s="107" t="s">
        <v>39</v>
      </c>
      <c r="E23" t="s">
        <v>79</v>
      </c>
    </row>
    <row r="24" spans="1:5" x14ac:dyDescent="0.3">
      <c r="A24" s="107" t="s">
        <v>40</v>
      </c>
      <c r="E24" t="s">
        <v>132</v>
      </c>
    </row>
    <row r="26" spans="1:5" x14ac:dyDescent="0.3">
      <c r="A26" s="84" t="s">
        <v>41</v>
      </c>
    </row>
    <row r="27" spans="1:5" x14ac:dyDescent="0.3">
      <c r="A27" s="107" t="s">
        <v>162</v>
      </c>
      <c r="E27" t="s">
        <v>80</v>
      </c>
    </row>
    <row r="28" spans="1:5" x14ac:dyDescent="0.3">
      <c r="A28" s="107" t="s">
        <v>163</v>
      </c>
      <c r="E28" t="s">
        <v>80</v>
      </c>
    </row>
    <row r="29" spans="1:5" x14ac:dyDescent="0.3">
      <c r="A29" s="107" t="s">
        <v>164</v>
      </c>
      <c r="E29" t="s">
        <v>81</v>
      </c>
    </row>
    <row r="30" spans="1:5" x14ac:dyDescent="0.3">
      <c r="A30" s="107" t="s">
        <v>165</v>
      </c>
      <c r="E30" t="s">
        <v>80</v>
      </c>
    </row>
    <row r="31" spans="1:5" x14ac:dyDescent="0.3">
      <c r="A31" s="107" t="s">
        <v>46</v>
      </c>
      <c r="E31" t="s">
        <v>81</v>
      </c>
    </row>
    <row r="33" spans="1:5" x14ac:dyDescent="0.3">
      <c r="A33" s="8" t="s">
        <v>42</v>
      </c>
      <c r="E33" s="115" t="s">
        <v>133</v>
      </c>
    </row>
    <row r="36" spans="1:5" ht="18" x14ac:dyDescent="0.35">
      <c r="A36" s="35" t="s">
        <v>82</v>
      </c>
    </row>
    <row r="38" spans="1:5" x14ac:dyDescent="0.3">
      <c r="A38" s="116" t="s">
        <v>24</v>
      </c>
      <c r="E38" t="s">
        <v>134</v>
      </c>
    </row>
    <row r="39" spans="1:5" x14ac:dyDescent="0.3">
      <c r="A39" s="116" t="s">
        <v>25</v>
      </c>
      <c r="E39" s="115" t="s">
        <v>85</v>
      </c>
    </row>
    <row r="40" spans="1:5" x14ac:dyDescent="0.3">
      <c r="A40" s="116" t="s">
        <v>26</v>
      </c>
      <c r="E40" t="s">
        <v>86</v>
      </c>
    </row>
    <row r="41" spans="1:5" x14ac:dyDescent="0.3">
      <c r="A41" s="117" t="s">
        <v>87</v>
      </c>
      <c r="E41" t="s">
        <v>88</v>
      </c>
    </row>
    <row r="42" spans="1:5" x14ac:dyDescent="0.3">
      <c r="A42" s="117" t="s">
        <v>27</v>
      </c>
      <c r="E42" t="s">
        <v>89</v>
      </c>
    </row>
    <row r="43" spans="1:5" x14ac:dyDescent="0.3">
      <c r="A43" s="116" t="s">
        <v>28</v>
      </c>
      <c r="E43" s="115" t="s">
        <v>166</v>
      </c>
    </row>
    <row r="44" spans="1:5" x14ac:dyDescent="0.3">
      <c r="A44" s="117" t="s">
        <v>90</v>
      </c>
      <c r="E44" t="s">
        <v>92</v>
      </c>
    </row>
    <row r="46" spans="1:5" x14ac:dyDescent="0.3">
      <c r="A46" s="84" t="s">
        <v>29</v>
      </c>
      <c r="E46" s="115" t="s">
        <v>91</v>
      </c>
    </row>
    <row r="47" spans="1:5" x14ac:dyDescent="0.3">
      <c r="A47" s="84" t="s">
        <v>30</v>
      </c>
      <c r="E47" s="115" t="s">
        <v>93</v>
      </c>
    </row>
    <row r="48" spans="1:5" x14ac:dyDescent="0.3">
      <c r="A48" s="84" t="s">
        <v>50</v>
      </c>
      <c r="E48" s="115" t="s">
        <v>94</v>
      </c>
    </row>
    <row r="49" spans="1:5" x14ac:dyDescent="0.3">
      <c r="E49" s="115" t="s">
        <v>95</v>
      </c>
    </row>
    <row r="50" spans="1:5" x14ac:dyDescent="0.3">
      <c r="E50" s="115" t="s">
        <v>96</v>
      </c>
    </row>
    <row r="51" spans="1:5" x14ac:dyDescent="0.3">
      <c r="A51" s="8" t="s">
        <v>66</v>
      </c>
      <c r="E51" s="115" t="s">
        <v>97</v>
      </c>
    </row>
    <row r="52" spans="1:5" x14ac:dyDescent="0.3">
      <c r="A52" s="8" t="s">
        <v>51</v>
      </c>
      <c r="E52" s="115" t="s">
        <v>99</v>
      </c>
    </row>
    <row r="53" spans="1:5" x14ac:dyDescent="0.3">
      <c r="E53" s="115" t="s">
        <v>98</v>
      </c>
    </row>
    <row r="54" spans="1:5" x14ac:dyDescent="0.3">
      <c r="A54" s="84" t="s">
        <v>31</v>
      </c>
      <c r="E54" s="115" t="s">
        <v>135</v>
      </c>
    </row>
    <row r="55" spans="1:5" x14ac:dyDescent="0.3">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4.4" x14ac:dyDescent="0.3"/>
  <cols>
    <col min="13" max="13" width="9.88671875" customWidth="1"/>
  </cols>
  <sheetData>
    <row r="1" spans="1:13" ht="18" x14ac:dyDescent="0.35">
      <c r="A1" s="35" t="s">
        <v>100</v>
      </c>
    </row>
    <row r="3" spans="1:13" x14ac:dyDescent="0.3">
      <c r="A3" s="36" t="s">
        <v>102</v>
      </c>
      <c r="B3" t="s">
        <v>101</v>
      </c>
    </row>
    <row r="4" spans="1:13" x14ac:dyDescent="0.3">
      <c r="A4" s="36" t="s">
        <v>103</v>
      </c>
      <c r="B4" t="s">
        <v>104</v>
      </c>
    </row>
    <row r="5" spans="1:13" x14ac:dyDescent="0.3">
      <c r="A5" s="36" t="s">
        <v>105</v>
      </c>
      <c r="B5" t="s">
        <v>109</v>
      </c>
    </row>
    <row r="6" spans="1:13" x14ac:dyDescent="0.3">
      <c r="A6" s="36" t="s">
        <v>106</v>
      </c>
      <c r="B6" t="s">
        <v>107</v>
      </c>
    </row>
    <row r="7" spans="1:13" ht="15" thickBot="1" x14ac:dyDescent="0.35">
      <c r="A7" s="36" t="s">
        <v>108</v>
      </c>
      <c r="B7" t="s">
        <v>110</v>
      </c>
    </row>
    <row r="8" spans="1:13" ht="15" thickBot="1" x14ac:dyDescent="0.35">
      <c r="A8" s="36" t="s">
        <v>111</v>
      </c>
      <c r="B8" t="s">
        <v>112</v>
      </c>
      <c r="G8" s="40"/>
    </row>
    <row r="9" spans="1:13" ht="15" thickBot="1" x14ac:dyDescent="0.35">
      <c r="A9" s="36" t="s">
        <v>113</v>
      </c>
      <c r="B9" t="s">
        <v>114</v>
      </c>
      <c r="G9" s="41"/>
    </row>
    <row r="10" spans="1:13" x14ac:dyDescent="0.3">
      <c r="A10" s="36" t="s">
        <v>115</v>
      </c>
      <c r="B10" t="s">
        <v>116</v>
      </c>
    </row>
    <row r="11" spans="1:13" ht="15" thickBot="1" x14ac:dyDescent="0.35">
      <c r="A11" s="36" t="s">
        <v>117</v>
      </c>
      <c r="B11" t="s">
        <v>118</v>
      </c>
    </row>
    <row r="12" spans="1:13" ht="15" thickBot="1" x14ac:dyDescent="0.35">
      <c r="A12" s="36" t="s">
        <v>119</v>
      </c>
      <c r="B12" t="s">
        <v>112</v>
      </c>
      <c r="G12" s="42"/>
    </row>
    <row r="13" spans="1:13" ht="15" thickBot="1" x14ac:dyDescent="0.35">
      <c r="A13" s="36" t="s">
        <v>120</v>
      </c>
      <c r="B13" t="s">
        <v>121</v>
      </c>
      <c r="G13" s="36"/>
      <c r="M13" s="38">
        <f>SUM(G9-G12)</f>
        <v>0</v>
      </c>
    </row>
    <row r="14" spans="1:13" ht="15" thickBot="1" x14ac:dyDescent="0.35">
      <c r="A14" s="36" t="s">
        <v>122</v>
      </c>
      <c r="B14" t="s">
        <v>136</v>
      </c>
    </row>
    <row r="15" spans="1:13" ht="15" thickBot="1" x14ac:dyDescent="0.35">
      <c r="A15" s="36" t="s">
        <v>123</v>
      </c>
      <c r="B15" t="s">
        <v>124</v>
      </c>
      <c r="G15" s="37">
        <f>G12+G8</f>
        <v>0</v>
      </c>
    </row>
    <row r="16" spans="1:13" ht="15" thickBot="1" x14ac:dyDescent="0.35">
      <c r="A16" s="36" t="s">
        <v>125</v>
      </c>
      <c r="B16" t="s">
        <v>126</v>
      </c>
      <c r="M16" s="39" t="e">
        <f>SUM(G15/((Income!F14+Income!H14+Income!J14+Income!L14)-Expenditure!M13))</f>
        <v>#DIV/0!</v>
      </c>
    </row>
    <row r="17" spans="1:2" x14ac:dyDescent="0.3">
      <c r="A17" s="36" t="s">
        <v>127</v>
      </c>
      <c r="B17" t="s">
        <v>198</v>
      </c>
    </row>
    <row r="18" spans="1:2" x14ac:dyDescent="0.3">
      <c r="B18" t="s">
        <v>128</v>
      </c>
    </row>
    <row r="19" spans="1:2" x14ac:dyDescent="0.3">
      <c r="B19" t="s">
        <v>129</v>
      </c>
    </row>
    <row r="20" spans="1:2" x14ac:dyDescent="0.3">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4.4" x14ac:dyDescent="0.3"/>
  <cols>
    <col min="1" max="1" width="17.33203125" bestFit="1" customWidth="1"/>
  </cols>
  <sheetData>
    <row r="1" spans="1:3" x14ac:dyDescent="0.3">
      <c r="A1" t="s">
        <v>199</v>
      </c>
      <c r="B1" t="s">
        <v>16</v>
      </c>
      <c r="C1" t="s">
        <v>202</v>
      </c>
    </row>
    <row r="2" spans="1:3" x14ac:dyDescent="0.3">
      <c r="A2" t="s">
        <v>200</v>
      </c>
      <c r="B2" t="s">
        <v>185</v>
      </c>
      <c r="C2" t="s">
        <v>203</v>
      </c>
    </row>
    <row r="6" spans="1:3" x14ac:dyDescent="0.3">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2026-04-14T08:16:43Z</dcterms:modified>
</cp:coreProperties>
</file>