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468CE2A3-6E64-4A18-B717-16F8B1D2E365}" xr6:coauthVersionLast="47" xr6:coauthVersionMax="47" xr10:uidLastSave="{00000000-0000-0000-0000-000000000000}"/>
  <workbookProtection workbookAlgorithmName="SHA-512" workbookHashValue="gmAaKPUyxApj8t48tAHSqLk7+RqFF3IRYHAipRO/hcn6Gh2ko+8UyaqbDm4NfL2zgZxipbtBBhGv80xZB79Uqw==" workbookSaltValue="kjFACLO5JqAKOmq7f3pxkg==" workbookSpinCount="100000" lockStructure="1"/>
  <bookViews>
    <workbookView xWindow="390" yWindow="390" windowWidth="21600" windowHeight="11295" activeTab="2"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I15" i="5" l="1"/>
  <c r="G15" i="5"/>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<sst xmlns="http://schemas.openxmlformats.org/spreadsheetml/2006/main" count="324" uniqueCount="212">
  <si>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</si>
  <si>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</si>
  <si>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</si>
  <si>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</si>
  <si>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</si>
  <si>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</si>
  <si>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</si>
  <si>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</si>
  <si>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</si>
  <si>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</si>
  <si>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</si>
  <si>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</si>
  <si>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</si>
  <si>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</si>
  <si>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</si>
  <si>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</si>
  <si>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</si>
  <si>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</si>
  <si>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</si>
  <si>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</si>
  <si>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</si>
  <si>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</si>
  <si>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</si>
  <si>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</si>
  <si>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</si>
  <si>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</si>
  <si>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</si>
  <si>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</si>
  <si>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</si>
  <si>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</si>
  <si>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</si>
  <si>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</si>
  <si>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</si>
  <si>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</si>
  <si>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</si>
  <si>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</si>
  <si>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</si>
  <si>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</si>
  <si>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</si>
  <si>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</si>
  <si>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</si>
  <si>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</si>
  <si>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</si>
  <si>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</si>
  <si>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</si>
  <si>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</si>
  <si>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</si>
  <si>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</si>
  <si>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</si>
  <si>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</si>
  <si>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</si>
  <si>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</si>
  <si>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</si>
  <si>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</si>
  <si>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</si>
  <si>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</si>
  <si>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</si>
  <si>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</si>
  <si>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</si>
  <si>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</si>
  <si>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</si>
  <si>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</si>
  <si>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</si>
  <si>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</si>
  <si>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</si>
  <si>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</si>
  <si>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</si>
  <si>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</si>
  <si>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</si>
  <si>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</si>
  <si>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</si>
  <si>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</si>
  <si>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</si>
  <si>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</si>
  <si>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</si>
  <si>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</si>
  <si>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</si>
  <si>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</si>
  <si>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</si>
  <si>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</si>
  <si>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</si>
  <si>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</si>
  <si>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</si>
  <si>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</si>
  <si>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</si>
  <si>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</si>
  <si>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</si>
  <si>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</si>
  <si>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</si>
  <si>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</si>
  <si>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</si>
  <si>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</si>
  <si>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</si>
  <si>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</si>
  <si>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</si>
  <si>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</si>
  <si>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</si>
  <si>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</si>
  <si>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</si>
  <si>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</si>
  <si>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</si>
  <si>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</si>
  <si>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</si>
  <si>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</si>
  <si>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</si>
  <si>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</si>
  <si>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</si>
  <si>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</si>
  <si>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</si>
  <si>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</si>
  <si>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</si>
  <si>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</si>
  <si>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</si>
  <si>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</si>
  <si>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</si>
  <si>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</si>
  <si>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</si>
  <si>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</si>
  <si>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</si>
  <si>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</si>
  <si>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</si>
  <si>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</si>
  <si>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</si>
  <si>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</si>
  <si>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</si>
  <si>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</si>
  <si>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</si>
  <si>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</si>
  <si>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</si>
  <si>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</si>
  <si>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</si>
  <si>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</si>
  <si>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</si>
  <si>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</si>
  <si>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</si>
  <si>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</si>
  <si>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</si>
  <si>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</si>
  <si>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</si>
  <si>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</si>
  <si>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</si>
  <si>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</si>
  <si>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</si>
  <si>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</si>
  <si>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</si>
  <si>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</si>
  <si>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</si>
  <si>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</si>
  <si>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</si>
  <si>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2yr</t>
  </si>
  <si>
    <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</si>
  <si>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</si>
  <si>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</si>
  <si>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</si>
  <si>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</si>
  <si>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</si>
  <si>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</si>
  <si>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</si>
  <si>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</si>
  <si>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</si>
  <si>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</si>
  <si>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</si>
  <si>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</si>
  <si>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</si>
  <si>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</si>
  <si>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</si>
  <si>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</si>
  <si>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</si>
  <si>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</si>
  <si>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</si>
  <si>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</si>
  <si>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</si>
  <si>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</si>
  <si>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</si>
  <si>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</si>
  <si>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</si>
  <si>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</si>
  <si>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</si>
  <si>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</si>
  <si>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</si>
  <si>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</si>
  <si>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</si>
  <si>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</si>
  <si>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</si>
  <si>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</si>
  <si>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</si>
  <si>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</si>
  <si>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</si>
  <si>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</si>
  <si>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</si>
  <si>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</si>
  <si>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</si>
  <si>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</si>
  <si>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</si>
  <si>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</si>
  <si>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</si>
  <si>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</si>
  <si>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</si>
  <si>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</si>
  <si>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</si>
  <si>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</si>
  <si>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</si>
  <si>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</si>
  <si>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</si>
  <si>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</si>
  <si>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</si>
  <si>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</si>
  <si>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</si>
  <si>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19006F Variable for Term Further Advance</t>
  </si>
  <si>
    <t>10247 5.54% Two Year Fixed Residential Further Advance</t>
  </si>
  <si>
    <t>10248 6.35% Two Year Fixed Expat Residential Further Advance</t>
  </si>
  <si>
    <t>External Version 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</si>
</sst>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13" fillId="0" borderId="0" xfId="0" applyFont="1" applyAlignment="1">
      <alignment horizontal="center"/>
    </xf>
    <xf numFmtId="0" fontId="0" fillId="0" borderId="0" xfId="0"/>
    <xf numFmtId="0" fontId="19" fillId="0" borderId="0" xfId="0" applyFont="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6" tableType="queryTable" totalsRowShown="0">
  <autoFilter ref="A1:H6"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27">
        <f ca="1">TODAY()</f>
        <v>46174</v>
      </c>
      <c r="C1" s="128"/>
    </row>
    <row r="2" spans="1:12" x14ac:dyDescent="0.25">
      <c r="A2" t="s">
        <v>211</v>
      </c>
    </row>
    <row r="3" spans="1:12" ht="18.75" x14ac:dyDescent="0.3">
      <c r="A3" s="79" t="s">
        <v>47</v>
      </c>
    </row>
    <row r="4" spans="1:12" x14ac:dyDescent="0.25">
      <c r="F4" s="86" t="s">
        <v>0</v>
      </c>
      <c r="H4" s="86" t="s">
        <v>1</v>
      </c>
      <c r="J4" s="86" t="s">
        <v>194</v>
      </c>
      <c r="L4" s="86" t="s">
        <v>195</v>
      </c>
    </row>
    <row r="5" spans="1:12" x14ac:dyDescent="0.25">
      <c r="F5" s="86"/>
      <c r="H5" s="86"/>
      <c r="J5" s="86"/>
      <c r="L5" s="86"/>
    </row>
    <row r="6" spans="1:12" x14ac:dyDescent="0.25">
      <c r="A6" s="84" t="s">
        <v>188</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205</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187</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191</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29" t="s">
        <v>174</v>
      </c>
      <c r="J17" s="130"/>
    </row>
    <row r="18" spans="1:10" x14ac:dyDescent="0.25">
      <c r="H18" s="107" t="s">
        <v>15</v>
      </c>
      <c r="I18" s="129" t="s">
        <v>175</v>
      </c>
      <c r="J18" s="130"/>
    </row>
    <row r="19" spans="1:10" x14ac:dyDescent="0.25">
      <c r="A19" s="84"/>
      <c r="H19" s="107" t="s">
        <v>16</v>
      </c>
      <c r="I19" s="129" t="s">
        <v>176</v>
      </c>
      <c r="J19" s="130"/>
    </row>
    <row r="20" spans="1:10" x14ac:dyDescent="0.25">
      <c r="H20" s="107" t="s">
        <v>17</v>
      </c>
      <c r="I20" s="129" t="s">
        <v>177</v>
      </c>
      <c r="J20" s="130"/>
    </row>
    <row r="21" spans="1:10" x14ac:dyDescent="0.25">
      <c r="H21" s="107" t="s">
        <v>18</v>
      </c>
      <c r="I21" s="129" t="s">
        <v>178</v>
      </c>
      <c r="J21" s="130"/>
    </row>
    <row r="22" spans="1:10" x14ac:dyDescent="0.25">
      <c r="H22" s="107" t="s">
        <v>19</v>
      </c>
      <c r="I22" s="129" t="s">
        <v>179</v>
      </c>
      <c r="J22" s="130"/>
    </row>
    <row r="23" spans="1:10" x14ac:dyDescent="0.25">
      <c r="H23" s="107" t="s">
        <v>20</v>
      </c>
      <c r="I23" s="129" t="s">
        <v>180</v>
      </c>
      <c r="J23" s="130"/>
    </row>
    <row r="24" spans="1:10" x14ac:dyDescent="0.25">
      <c r="H24" s="8" t="s">
        <v>181</v>
      </c>
      <c r="I24" s="131" t="s">
        <v>182</v>
      </c>
      <c r="J24" s="130"/>
    </row>
    <row r="25" spans="1:10" x14ac:dyDescent="0.25">
      <c r="H25" s="8" t="s">
        <v>183</v>
      </c>
      <c r="I25" s="131" t="s">
        <v>184</v>
      </c>
      <c r="J25" s="130"/>
    </row>
  </sheetData>
  <sheetProtection algorithmName="SHA-512" hashValue="1AN6npdgonWSNMM2ObhG/K9R1CgvbVvOyunCUGLOX1UAlV4YTYVEfQknq/12+oG//HiIXyrNIf8AhAzCBo56FQ==" saltValue="3OtptN5Zyhh3c10veDOa+g==" spinCount="100000" sheet="1" selectLockedCells="1"/>
  <mergeCells count="10">
    <mergeCell ref="I21:J21"/>
    <mergeCell ref="I22:J22"/>
    <mergeCell ref="I23:J23"/>
    <mergeCell ref="I24:J24"/>
    <mergeCell ref="I25:J25"/>
    <mergeCell ref="B1:C1"/>
    <mergeCell ref="I17:J17"/>
    <mergeCell ref="I18:J18"/>
    <mergeCell ref="I19:J19"/>
    <mergeCell ref="I20:J20"/>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181</v>
      </c>
    </row>
    <row r="9" spans="1:2" x14ac:dyDescent="0.25">
      <c r="B9" t="s">
        <v>183</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6"/>
  <sheetViews>
    <sheetView workbookViewId="0">
      <selection activeCell="A2" sqref="A2"/>
    </sheetView>
  </sheetViews>
  <sheetFormatPr defaultRowHeight="15" x14ac:dyDescent="0.25"/>
  <cols>
    <col min="1" max="1" width="57.570312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18.7109375" bestFit="1" customWidth="1"/>
  </cols>
  <sheetData>
    <row r="1" spans="1:8" x14ac:dyDescent="0.25">
      <c r="A1" t="s">
        <v>140</v>
      </c>
      <c r="B1" t="s">
        <v>141</v>
      </c>
      <c r="C1" t="s">
        <v>142</v>
      </c>
      <c r="D1" t="s">
        <v>143</v>
      </c>
      <c r="E1" t="s">
        <v>144</v>
      </c>
      <c r="F1" t="s">
        <v>145</v>
      </c>
      <c r="G1" t="s">
        <v>146</v>
      </c>
      <c r="H1" t="s">
        <v>147</v>
      </c>
    </row>
    <row r="2" spans="1:8" x14ac:dyDescent="0.25">
      <c r="A2" t="s">
        <v>206</v>
      </c>
      <c r="B2">
        <v>8.09</v>
      </c>
      <c r="C2">
        <v>5.44</v>
      </c>
      <c r="D2">
        <v>8.08</v>
      </c>
      <c r="E2" t="s">
        <v>149</v>
      </c>
      <c r="F2" t="s">
        <v>148</v>
      </c>
      <c r="G2" t="s">
        <v>149</v>
      </c>
      <c r="H2" t="s">
        <v>173</v>
      </c>
    </row>
    <row r="3" spans="1:8" x14ac:dyDescent="0.25">
      <c r="A3" t="s">
        <v>207</v>
      </c>
      <c r="B3">
        <v>8.09</v>
      </c>
      <c r="C3">
        <v>6.25</v>
      </c>
      <c r="D3">
        <v>8.08</v>
      </c>
      <c r="E3" t="s">
        <v>149</v>
      </c>
      <c r="F3" t="s">
        <v>148</v>
      </c>
      <c r="G3" t="s">
        <v>149</v>
      </c>
      <c r="H3" t="s">
        <v>173</v>
      </c>
    </row>
    <row r="4" spans="1:8" x14ac:dyDescent="0.25">
      <c r="A4" t="s">
        <v>209</v>
      </c>
      <c r="B4">
        <v>8.09</v>
      </c>
      <c r="C4">
        <v>5.54</v>
      </c>
      <c r="D4">
        <v>8.08</v>
      </c>
      <c r="E4" t="s">
        <v>149</v>
      </c>
      <c r="F4" t="s">
        <v>148</v>
      </c>
      <c r="G4" t="s">
        <v>149</v>
      </c>
      <c r="H4" t="s">
        <v>173</v>
      </c>
    </row>
    <row r="5" spans="1:8" x14ac:dyDescent="0.25">
      <c r="A5" t="s">
        <v>210</v>
      </c>
      <c r="B5">
        <v>8.09</v>
      </c>
      <c r="C5">
        <v>6.35</v>
      </c>
      <c r="D5">
        <v>8.08</v>
      </c>
      <c r="E5" t="s">
        <v>149</v>
      </c>
      <c r="F5" t="s">
        <v>148</v>
      </c>
      <c r="G5" t="s">
        <v>149</v>
      </c>
      <c r="H5" t="s">
        <v>173</v>
      </c>
    </row>
    <row r="6" spans="1:8" x14ac:dyDescent="0.25">
      <c r="A6" t="s">
        <v>208</v>
      </c>
      <c r="B6">
        <v>8.09</v>
      </c>
      <c r="C6">
        <v>8.09</v>
      </c>
      <c r="D6">
        <v>8.09</v>
      </c>
      <c r="E6" t="s">
        <v>150</v>
      </c>
      <c r="F6" t="s">
        <v>152</v>
      </c>
      <c r="G6" t="s">
        <v>151</v>
      </c>
      <c r="H6" t="s">
        <v>173</v>
      </c>
    </row>
  </sheetData>
  <sheetProtection algorithmName="SHA-512" hashValue="4Xtt8AaLBgzAOETo2YjnYV3wNCd+tmgdZtCSsSdUMGGGDcu2jGCy9oI2wWvXt9TTuZbDx4FHYNh51eX3ObGqQA==" saltValue="l85G1ey82l8RERtZi1ek8g=="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27">
        <f ca="1">TODAY()</f>
        <v>46174</v>
      </c>
      <c r="C1" s="128"/>
    </row>
    <row r="2" spans="1:15" ht="15.75" x14ac:dyDescent="0.25">
      <c r="A2" s="136" t="s">
        <v>202</v>
      </c>
      <c r="B2" s="136"/>
      <c r="C2" s="136"/>
      <c r="D2" s="136"/>
      <c r="E2" s="136"/>
    </row>
    <row r="3" spans="1:15" ht="15.75" x14ac:dyDescent="0.25">
      <c r="A3" s="135" t="s">
        <v>199</v>
      </c>
      <c r="B3" s="135"/>
      <c r="C3" s="135"/>
      <c r="D3" s="135"/>
      <c r="E3" s="1" t="s">
        <v>201</v>
      </c>
    </row>
    <row r="4" spans="1:15" ht="15.75" thickBot="1" x14ac:dyDescent="0.3"/>
    <row r="5" spans="1:15" ht="19.5" thickBot="1" x14ac:dyDescent="0.35">
      <c r="A5" s="79" t="s">
        <v>45</v>
      </c>
      <c r="F5" s="132" t="s">
        <v>64</v>
      </c>
      <c r="G5" s="133"/>
      <c r="H5" s="133"/>
      <c r="I5" s="134"/>
      <c r="L5" s="132" t="s">
        <v>33</v>
      </c>
      <c r="M5" s="133"/>
      <c r="N5" s="134"/>
    </row>
    <row r="6" spans="1:15" x14ac:dyDescent="0.25">
      <c r="E6" s="89"/>
      <c r="F6" s="45"/>
      <c r="G6" s="89"/>
      <c r="H6" s="89"/>
      <c r="I6" s="45"/>
      <c r="J6" s="5"/>
    </row>
    <row r="7" spans="1:15" x14ac:dyDescent="0.25">
      <c r="A7" s="84" t="s">
        <v>34</v>
      </c>
      <c r="F7" s="86" t="s">
        <v>0</v>
      </c>
      <c r="G7" s="86" t="s">
        <v>1</v>
      </c>
      <c r="H7" s="86" t="s">
        <v>194</v>
      </c>
      <c r="I7" s="86" t="s">
        <v>195</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2" t="s">
        <v>32</v>
      </c>
      <c r="G16" s="133"/>
      <c r="H16" s="133"/>
      <c r="I16" s="134"/>
      <c r="J16" s="6"/>
      <c r="L16" s="132" t="s">
        <v>33</v>
      </c>
      <c r="M16" s="133"/>
      <c r="N16" s="134"/>
      <c r="O16" s="31" t="s">
        <v>65</v>
      </c>
    </row>
    <row r="17" spans="1:15" x14ac:dyDescent="0.25">
      <c r="A17" s="84" t="s">
        <v>38</v>
      </c>
      <c r="E17" s="92"/>
      <c r="F17" s="92"/>
      <c r="G17" s="92"/>
      <c r="H17" s="96"/>
      <c r="I17" s="92"/>
      <c r="J17" s="6"/>
    </row>
    <row r="18" spans="1:15" ht="17.25" x14ac:dyDescent="0.3">
      <c r="A18" s="90" t="s">
        <v>158</v>
      </c>
      <c r="B18" s="91"/>
      <c r="D18" s="94"/>
      <c r="E18" s="92"/>
      <c r="F18" s="9"/>
      <c r="G18" s="93"/>
      <c r="H18" s="93"/>
      <c r="J18" s="15"/>
      <c r="M18" s="17">
        <f>IF($F18&gt;=$O18,$F18,IF(AND($O18&gt;=$F18,$E$3="Remortgage",$F18&gt;0),$F18,$O18))</f>
        <v>504.40000000000003</v>
      </c>
      <c r="O18" s="11">
        <f>VLOOKUP(Income!F17,'ONS Data'!A:I,4,FALSE)</f>
        <v>504.40000000000003</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504.40000000000003</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160</v>
      </c>
      <c r="B24" s="91"/>
      <c r="E24" s="92"/>
      <c r="F24" s="9"/>
      <c r="G24" s="92"/>
      <c r="H24" s="92"/>
      <c r="J24" s="6"/>
      <c r="M24" s="17">
        <f>IF($F24&gt;=$O24,$F24,IF(AND($O24&gt;=$F24,$E$3="Remortgage",$F24&gt;0),$F24,$O24))</f>
        <v>169.43333333333334</v>
      </c>
      <c r="O24" s="10">
        <f>VLOOKUP(Income!F17,'ONS Data'!A:I,7,FALSE)</f>
        <v>169.43333333333334</v>
      </c>
    </row>
    <row r="25" spans="1:15" ht="17.25" x14ac:dyDescent="0.3">
      <c r="A25" s="90" t="s">
        <v>161</v>
      </c>
      <c r="B25" s="91"/>
      <c r="D25" s="94"/>
      <c r="E25" s="92"/>
      <c r="F25" s="9"/>
      <c r="G25" s="92"/>
      <c r="H25" s="92"/>
      <c r="J25" s="6"/>
      <c r="M25" s="17">
        <f>IF($F25&gt;=$O25,$F25,IF(AND($O25&gt;=$F25,$E$3="Remortgage",$F25&gt;0),$F25,$O25))</f>
        <v>39.866666666666667</v>
      </c>
      <c r="O25" s="12">
        <f>VLOOKUP(Income!F17,'ONS Data'!A:I,9,FALSE)</f>
        <v>39.866666666666667</v>
      </c>
    </row>
    <row r="26" spans="1:15" ht="17.25" x14ac:dyDescent="0.3">
      <c r="A26" s="90" t="s">
        <v>162</v>
      </c>
      <c r="B26" s="91"/>
      <c r="D26" s="94"/>
      <c r="E26" s="92"/>
      <c r="F26" s="9"/>
      <c r="G26" s="92"/>
      <c r="H26" s="92"/>
      <c r="J26" s="6"/>
      <c r="M26" s="17">
        <f>SUM(F26)</f>
        <v>0</v>
      </c>
      <c r="O26" s="11"/>
    </row>
    <row r="27" spans="1:15" ht="17.25" x14ac:dyDescent="0.3">
      <c r="A27" s="90" t="s">
        <v>163</v>
      </c>
      <c r="B27" s="91"/>
      <c r="D27" s="94"/>
      <c r="E27" s="92"/>
      <c r="F27" s="9"/>
      <c r="G27" s="92"/>
      <c r="H27" s="92"/>
      <c r="J27" s="6"/>
      <c r="M27" s="17">
        <f>IF($F27&gt;=$O27,$F27,IF(AND($O27&gt;=$F27,$E$3="Remortgage",$F27&gt;0),$F27,$O27))</f>
        <v>17.333333333333332</v>
      </c>
      <c r="O27" s="11">
        <f>VLOOKUP(Income!F17,'ONS Data'!A:I,6,FALSE)</f>
        <v>17.333333333333332</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226.63333333333335</v>
      </c>
      <c r="O29" s="14"/>
    </row>
    <row r="31" spans="1:15" ht="15.75" thickBot="1" x14ac:dyDescent="0.3"/>
    <row r="32" spans="1:15" ht="16.5" thickBot="1" x14ac:dyDescent="0.3">
      <c r="A32" s="97" t="s">
        <v>42</v>
      </c>
      <c r="F32" s="22">
        <f>SUM(F14+G14+H14+I14+F21+F29)</f>
        <v>0</v>
      </c>
      <c r="M32" s="22">
        <f>SUM(M14+P14+M21+M29)</f>
        <v>731.03333333333342</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tabSelected="1"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4" width="9.140625" style="68" customWidth="1"/>
    <col min="15" max="16384" width="9.140625" style="68"/>
  </cols>
  <sheetData>
    <row r="1" spans="1:13" ht="16.5" thickBot="1" x14ac:dyDescent="0.3">
      <c r="A1" s="78" t="s">
        <v>137</v>
      </c>
      <c r="B1" s="127">
        <f ca="1">TODAY()</f>
        <v>46174</v>
      </c>
      <c r="C1" s="128"/>
      <c r="D1"/>
      <c r="E1"/>
      <c r="F1"/>
      <c r="G1"/>
      <c r="H1"/>
      <c r="I1"/>
      <c r="J1"/>
      <c r="K1"/>
      <c r="L1"/>
      <c r="M1"/>
    </row>
    <row r="2" spans="1:13" ht="16.5" thickBot="1" x14ac:dyDescent="0.3">
      <c r="A2" s="136" t="s">
        <v>202</v>
      </c>
      <c r="B2" s="136"/>
      <c r="C2" s="136"/>
      <c r="D2" s="136"/>
      <c r="E2" s="136"/>
      <c r="F2"/>
      <c r="G2"/>
      <c r="H2"/>
      <c r="I2"/>
      <c r="J2"/>
      <c r="K2"/>
      <c r="L2"/>
      <c r="M2"/>
    </row>
    <row r="3" spans="1:13" ht="20.25" thickTop="1" thickBot="1" x14ac:dyDescent="0.35">
      <c r="A3" s="79" t="s">
        <v>53</v>
      </c>
      <c r="B3"/>
      <c r="C3"/>
      <c r="D3" s="139" t="s">
        <v>209</v>
      </c>
      <c r="E3" s="140"/>
      <c r="F3" s="140"/>
      <c r="G3" s="140"/>
      <c r="H3" s="141"/>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155</v>
      </c>
      <c r="B9" s="111"/>
      <c r="C9" s="45"/>
      <c r="D9" s="45"/>
      <c r="E9" s="45"/>
      <c r="F9" s="45"/>
      <c r="G9" s="45"/>
      <c r="H9" s="67" t="str">
        <f>VLOOKUP($D$3,Table_Query_from_DPR_DMART[],8,FALSE)</f>
        <v>Further Advances</v>
      </c>
      <c r="I9"/>
      <c r="J9"/>
      <c r="K9" s="80"/>
      <c r="L9"/>
      <c r="M9"/>
    </row>
    <row r="10" spans="1:13" x14ac:dyDescent="0.25">
      <c r="A10" s="110" t="s">
        <v>153</v>
      </c>
      <c r="B10" s="111"/>
      <c r="C10" s="45"/>
      <c r="D10" s="45"/>
      <c r="E10" s="45"/>
      <c r="F10" s="45"/>
      <c r="G10" s="45"/>
      <c r="H10" s="67" t="str">
        <f>VLOOKUP($D$3,Table_Query_from_DPR_DMART[],6,FALSE)</f>
        <v>Fixed</v>
      </c>
      <c r="I10"/>
      <c r="J10"/>
      <c r="K10" s="80"/>
      <c r="L10"/>
      <c r="M10"/>
    </row>
    <row r="11" spans="1:13" x14ac:dyDescent="0.25">
      <c r="A11" s="110" t="s">
        <v>154</v>
      </c>
      <c r="B11" s="111"/>
      <c r="C11" s="45"/>
      <c r="D11" s="45"/>
      <c r="E11" s="45"/>
      <c r="F11" s="45"/>
      <c r="G11" s="45"/>
      <c r="H11" s="67" t="str">
        <f>VLOOKUP($D$3,Table_Query_from_DPR_DMART[],5,FALSE)</f>
        <v>2yr</v>
      </c>
      <c r="I11"/>
      <c r="J11"/>
      <c r="K11" s="80"/>
      <c r="L11"/>
      <c r="M11"/>
    </row>
    <row r="12" spans="1:13" x14ac:dyDescent="0.25">
      <c r="A12" s="110" t="s">
        <v>83</v>
      </c>
      <c r="B12" s="111"/>
      <c r="C12" s="45"/>
      <c r="D12" s="45"/>
      <c r="E12" s="45"/>
      <c r="F12" s="45"/>
      <c r="G12" s="45"/>
      <c r="H12" s="67" t="str">
        <f>IF(VLOOKUP($D$3,Table_Query_from_DPR_DMART[],5,FALSE)="5YR","Y","N")</f>
        <v>N</v>
      </c>
      <c r="I12"/>
      <c r="J12"/>
      <c r="K12"/>
      <c r="L12"/>
      <c r="M12"/>
    </row>
    <row r="13" spans="1:13" x14ac:dyDescent="0.25">
      <c r="A13" s="110" t="s">
        <v>27</v>
      </c>
      <c r="B13" s="111"/>
      <c r="C13" s="45"/>
      <c r="D13" s="45"/>
      <c r="E13" s="45"/>
      <c r="F13" s="45"/>
      <c r="G13" s="45"/>
      <c r="H13" s="67" t="str">
        <f>IF(VLOOKUP($D$3,Table_Query_from_DPR_DMART[],5,FALSE)="5YR",VLOOKUP($D$3,Table_Query_from_DPR_DMART[],3,FALSE),"-")</f>
        <v>-</v>
      </c>
      <c r="I13"/>
      <c r="J13"/>
      <c r="K13"/>
      <c r="L13"/>
      <c r="M13"/>
    </row>
    <row r="14" spans="1:13" x14ac:dyDescent="0.25">
      <c r="A14" s="110" t="s">
        <v>28</v>
      </c>
      <c r="B14" s="111"/>
      <c r="C14" s="45"/>
      <c r="D14" s="45"/>
      <c r="E14" s="45"/>
      <c r="F14" s="45"/>
      <c r="G14" s="45"/>
      <c r="H14" s="67">
        <f>VLOOKUP($D$3,Table_Query_from_DPR_DMART[],4,FALSE)</f>
        <v>8.08</v>
      </c>
      <c r="I14"/>
      <c r="J14"/>
      <c r="K14"/>
      <c r="L14"/>
      <c r="M14"/>
    </row>
    <row r="15" spans="1:13" ht="30" customHeight="1" x14ac:dyDescent="0.25">
      <c r="A15" s="142" t="s">
        <v>186</v>
      </c>
      <c r="B15" s="142"/>
      <c r="C15" s="142"/>
      <c r="D15" s="142"/>
      <c r="E15" s="142"/>
      <c r="F15" s="142"/>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-731.03333333333342</v>
      </c>
      <c r="I26"/>
      <c r="J26"/>
      <c r="K26" s="138"/>
      <c r="L26" s="137"/>
      <c r="M26"/>
    </row>
    <row r="27" spans="1:16" ht="9.75" customHeight="1" thickBot="1" x14ac:dyDescent="0.3">
      <c r="A27"/>
      <c r="B27"/>
      <c r="C27"/>
      <c r="D27"/>
      <c r="E27" s="29"/>
      <c r="F27" s="29"/>
      <c r="G27"/>
      <c r="H27"/>
      <c r="I27"/>
      <c r="J27"/>
      <c r="K27" s="138"/>
      <c r="L27" s="13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185</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E43oDbs65Lc6qvYSzVQ790P3f1QNitZJ+70C1D/WUwkC19TpJkcrFasDMk/2G+qUBGQrOHWlan1rl+ToHq27RA==" saltValue="bgE1uNURhO+TeEV8fyWREw=="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D1D666A6-B798-4770-83C0-968F5DBC4E63}">
      <formula1>INDIRECT("ProductData!$A$2:$A$6")</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D29" sqref="D29"/>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157</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174</v>
      </c>
      <c r="C6" s="45"/>
      <c r="D6" s="49">
        <v>116.4</v>
      </c>
      <c r="E6" s="49">
        <v>15</v>
      </c>
      <c r="F6" s="49">
        <v>4</v>
      </c>
      <c r="G6" s="49">
        <v>39.1</v>
      </c>
      <c r="H6" s="49">
        <v>8</v>
      </c>
      <c r="I6" s="49">
        <v>9.1999999999999993</v>
      </c>
      <c r="J6" s="49">
        <v>34.200000000000003</v>
      </c>
      <c r="K6" s="49">
        <v>50</v>
      </c>
      <c r="L6" s="49">
        <v>275.89999999999998</v>
      </c>
    </row>
    <row r="7" spans="1:12" x14ac:dyDescent="0.25">
      <c r="A7" s="45"/>
      <c r="B7" s="43" t="s">
        <v>175</v>
      </c>
      <c r="C7" s="45"/>
      <c r="D7" s="49">
        <v>145.6</v>
      </c>
      <c r="E7" s="49">
        <v>23.5</v>
      </c>
      <c r="F7" s="49">
        <v>5.2</v>
      </c>
      <c r="G7" s="49">
        <v>69.7</v>
      </c>
      <c r="H7" s="49">
        <v>14.2</v>
      </c>
      <c r="I7" s="49">
        <v>15.9</v>
      </c>
      <c r="J7" s="49">
        <v>83.7</v>
      </c>
      <c r="K7" s="49">
        <v>115.9</v>
      </c>
      <c r="L7" s="49">
        <v>473.69999999999993</v>
      </c>
    </row>
    <row r="8" spans="1:12" x14ac:dyDescent="0.25">
      <c r="A8" s="45"/>
      <c r="B8" s="43" t="s">
        <v>176</v>
      </c>
      <c r="C8" s="45"/>
      <c r="D8" s="49">
        <v>145.9</v>
      </c>
      <c r="E8" s="49">
        <v>18.600000000000001</v>
      </c>
      <c r="F8" s="49">
        <v>3.1</v>
      </c>
      <c r="G8" s="49">
        <v>47.5</v>
      </c>
      <c r="H8" s="49">
        <v>5.5</v>
      </c>
      <c r="I8" s="49">
        <v>19.8</v>
      </c>
      <c r="J8" s="49">
        <v>34.1</v>
      </c>
      <c r="K8" s="49">
        <v>42.9</v>
      </c>
      <c r="L8" s="49">
        <v>317.39999999999998</v>
      </c>
    </row>
    <row r="9" spans="1:12" x14ac:dyDescent="0.25">
      <c r="A9" s="45"/>
      <c r="B9" s="43" t="s">
        <v>177</v>
      </c>
      <c r="C9" s="45"/>
      <c r="D9" s="49">
        <v>172.1</v>
      </c>
      <c r="E9" s="49">
        <v>20.3</v>
      </c>
      <c r="F9" s="49">
        <v>2.2999999999999998</v>
      </c>
      <c r="G9" s="49">
        <v>65.099999999999994</v>
      </c>
      <c r="H9" s="49">
        <v>5</v>
      </c>
      <c r="I9" s="49">
        <v>15.3</v>
      </c>
      <c r="J9" s="49">
        <v>49</v>
      </c>
      <c r="K9" s="49">
        <v>38.9</v>
      </c>
      <c r="L9" s="49">
        <v>368</v>
      </c>
    </row>
    <row r="10" spans="1:12" x14ac:dyDescent="0.25">
      <c r="A10" s="45"/>
      <c r="B10" s="43" t="s">
        <v>178</v>
      </c>
      <c r="C10" s="45"/>
      <c r="D10" s="49">
        <v>157.69999999999999</v>
      </c>
      <c r="E10" s="49">
        <v>23.5</v>
      </c>
      <c r="F10" s="49">
        <v>9.1</v>
      </c>
      <c r="G10" s="49">
        <v>80.900000000000006</v>
      </c>
      <c r="H10" s="49">
        <v>9.1999999999999993</v>
      </c>
      <c r="I10" s="49">
        <v>22.1</v>
      </c>
      <c r="J10" s="49">
        <v>78.3</v>
      </c>
      <c r="K10" s="49">
        <v>109.6</v>
      </c>
      <c r="L10" s="49">
        <v>490.4</v>
      </c>
    </row>
    <row r="11" spans="1:12" x14ac:dyDescent="0.25">
      <c r="A11" s="45"/>
      <c r="B11" s="43" t="s">
        <v>179</v>
      </c>
      <c r="C11" s="45"/>
      <c r="D11" s="49">
        <v>158</v>
      </c>
      <c r="E11" s="49">
        <v>26.2</v>
      </c>
      <c r="F11" s="49">
        <v>8.3000000000000007</v>
      </c>
      <c r="G11" s="49">
        <v>91.4</v>
      </c>
      <c r="H11" s="49">
        <v>10.8</v>
      </c>
      <c r="I11" s="49">
        <v>29</v>
      </c>
      <c r="J11" s="49">
        <v>93.3</v>
      </c>
      <c r="K11" s="49">
        <v>100.9</v>
      </c>
      <c r="L11" s="49">
        <v>517.9</v>
      </c>
    </row>
    <row r="12" spans="1:12" x14ac:dyDescent="0.25">
      <c r="A12" s="45"/>
      <c r="B12" s="43" t="s">
        <v>180</v>
      </c>
      <c r="C12" s="45"/>
      <c r="D12" s="49">
        <v>177.5</v>
      </c>
      <c r="E12" s="49">
        <v>26.6</v>
      </c>
      <c r="F12" s="49">
        <v>4.8</v>
      </c>
      <c r="G12" s="49">
        <v>106.4</v>
      </c>
      <c r="H12" s="49">
        <v>7.8</v>
      </c>
      <c r="I12" s="49">
        <v>30</v>
      </c>
      <c r="J12" s="49">
        <v>88.2</v>
      </c>
      <c r="K12" s="49">
        <v>91</v>
      </c>
      <c r="L12" s="49">
        <v>532.29999999999995</v>
      </c>
    </row>
    <row r="13" spans="1:12" x14ac:dyDescent="0.25">
      <c r="A13" s="45"/>
      <c r="B13" s="77" t="s">
        <v>182</v>
      </c>
      <c r="C13" s="45"/>
      <c r="D13" s="49">
        <v>78.2</v>
      </c>
      <c r="E13" s="49">
        <v>14.5</v>
      </c>
      <c r="F13" s="49">
        <v>4.7</v>
      </c>
      <c r="G13" s="49">
        <v>39.299999999999997</v>
      </c>
      <c r="H13" s="49">
        <v>6.5</v>
      </c>
      <c r="I13" s="49">
        <v>8.1999999999999993</v>
      </c>
      <c r="J13" s="49">
        <v>37.6</v>
      </c>
      <c r="K13" s="49">
        <v>23.8</v>
      </c>
      <c r="L13" s="49">
        <v>212.79999999999998</v>
      </c>
    </row>
    <row r="14" spans="1:12" x14ac:dyDescent="0.25">
      <c r="A14" s="45"/>
      <c r="B14" s="77" t="s">
        <v>184</v>
      </c>
      <c r="C14" s="45"/>
      <c r="D14" s="49">
        <v>97.1</v>
      </c>
      <c r="E14" s="49">
        <v>19</v>
      </c>
      <c r="F14" s="49">
        <v>8.6999999999999993</v>
      </c>
      <c r="G14" s="49">
        <v>72.3</v>
      </c>
      <c r="H14" s="49">
        <v>12.1</v>
      </c>
      <c r="I14" s="49">
        <v>11.6</v>
      </c>
      <c r="J14" s="49">
        <v>67.099999999999994</v>
      </c>
      <c r="K14" s="49">
        <v>65.099999999999994</v>
      </c>
      <c r="L14" s="49">
        <v>353</v>
      </c>
    </row>
    <row r="15" spans="1:12" x14ac:dyDescent="0.25">
      <c r="A15" s="45"/>
      <c r="B15" s="46"/>
      <c r="C15" s="45"/>
      <c r="D15" s="72">
        <v>1248.5</v>
      </c>
      <c r="E15" s="72">
        <v>187.20000000000002</v>
      </c>
      <c r="F15" s="72">
        <v>50.2</v>
      </c>
      <c r="G15" s="72">
        <v>611.69999999999993</v>
      </c>
      <c r="H15" s="72">
        <v>79.099999999999994</v>
      </c>
      <c r="I15" s="72">
        <v>161.1</v>
      </c>
      <c r="J15" s="72">
        <v>565.5</v>
      </c>
      <c r="K15" s="72">
        <v>638.1</v>
      </c>
      <c r="L15" s="72">
        <v>3541.4000000000005</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174</v>
      </c>
      <c r="C18" s="45"/>
      <c r="D18" s="49">
        <v>504.40000000000003</v>
      </c>
      <c r="E18" s="49">
        <v>65</v>
      </c>
      <c r="F18" s="49">
        <v>17.333333333333332</v>
      </c>
      <c r="G18" s="49">
        <v>169.43333333333334</v>
      </c>
      <c r="H18" s="49">
        <v>34.666666666666664</v>
      </c>
      <c r="I18" s="49">
        <v>39.866666666666667</v>
      </c>
      <c r="J18" s="49">
        <v>148.20000000000002</v>
      </c>
      <c r="K18" s="49">
        <v>216.66666666666666</v>
      </c>
      <c r="L18" s="49">
        <v>1195.5666666666668</v>
      </c>
    </row>
    <row r="19" spans="1:12" x14ac:dyDescent="0.25">
      <c r="A19" s="45" t="s">
        <v>15</v>
      </c>
      <c r="B19" s="43" t="s">
        <v>175</v>
      </c>
      <c r="C19" s="45"/>
      <c r="D19" s="49">
        <v>630.93333333333328</v>
      </c>
      <c r="E19" s="49">
        <v>101.83333333333333</v>
      </c>
      <c r="F19" s="49">
        <v>22.533333333333335</v>
      </c>
      <c r="G19" s="49">
        <v>302.03333333333336</v>
      </c>
      <c r="H19" s="49">
        <v>61.533333333333331</v>
      </c>
      <c r="I19" s="49">
        <v>68.900000000000006</v>
      </c>
      <c r="J19" s="49">
        <v>362.70000000000005</v>
      </c>
      <c r="K19" s="49">
        <v>502.23333333333335</v>
      </c>
      <c r="L19" s="49">
        <v>2052.6999999999998</v>
      </c>
    </row>
    <row r="20" spans="1:12" x14ac:dyDescent="0.25">
      <c r="A20" s="45" t="s">
        <v>16</v>
      </c>
      <c r="B20" s="43" t="s">
        <v>176</v>
      </c>
      <c r="C20" s="45"/>
      <c r="D20" s="49">
        <v>632.23333333333335</v>
      </c>
      <c r="E20" s="49">
        <v>80.600000000000009</v>
      </c>
      <c r="F20" s="49">
        <v>13.433333333333335</v>
      </c>
      <c r="G20" s="49">
        <v>205.83333333333334</v>
      </c>
      <c r="H20" s="49">
        <v>23.833333333333332</v>
      </c>
      <c r="I20" s="49">
        <v>85.800000000000011</v>
      </c>
      <c r="J20" s="49">
        <v>147.76666666666668</v>
      </c>
      <c r="K20" s="49">
        <v>185.89999999999998</v>
      </c>
      <c r="L20" s="49">
        <v>1375.4</v>
      </c>
    </row>
    <row r="21" spans="1:12" x14ac:dyDescent="0.25">
      <c r="A21" s="45" t="s">
        <v>17</v>
      </c>
      <c r="B21" s="43" t="s">
        <v>177</v>
      </c>
      <c r="C21" s="45"/>
      <c r="D21" s="49">
        <v>745.76666666666654</v>
      </c>
      <c r="E21" s="49">
        <v>87.966666666666683</v>
      </c>
      <c r="F21" s="49">
        <v>9.9666666666666668</v>
      </c>
      <c r="G21" s="49">
        <v>282.09999999999997</v>
      </c>
      <c r="H21" s="49">
        <v>21.666666666666668</v>
      </c>
      <c r="I21" s="49">
        <v>66.3</v>
      </c>
      <c r="J21" s="49">
        <v>212.33333333333334</v>
      </c>
      <c r="K21" s="49">
        <v>168.56666666666666</v>
      </c>
      <c r="L21" s="49">
        <v>1594.6666666666665</v>
      </c>
    </row>
    <row r="22" spans="1:12" x14ac:dyDescent="0.25">
      <c r="A22" s="45" t="s">
        <v>18</v>
      </c>
      <c r="B22" s="43" t="s">
        <v>178</v>
      </c>
      <c r="C22" s="45"/>
      <c r="D22" s="49">
        <v>683.36666666666667</v>
      </c>
      <c r="E22" s="49">
        <v>101.83333333333333</v>
      </c>
      <c r="F22" s="49">
        <v>39.43333333333333</v>
      </c>
      <c r="G22" s="49">
        <v>350.56666666666666</v>
      </c>
      <c r="H22" s="49">
        <v>39.866666666666667</v>
      </c>
      <c r="I22" s="49">
        <v>95.766666666666666</v>
      </c>
      <c r="J22" s="49">
        <v>339.3</v>
      </c>
      <c r="K22" s="49">
        <v>474.93333333333334</v>
      </c>
      <c r="L22" s="49">
        <v>2125.0666666666666</v>
      </c>
    </row>
    <row r="23" spans="1:12" x14ac:dyDescent="0.25">
      <c r="A23" s="45" t="s">
        <v>19</v>
      </c>
      <c r="B23" s="43" t="s">
        <v>179</v>
      </c>
      <c r="C23" s="45"/>
      <c r="D23" s="49">
        <v>684.66666666666663</v>
      </c>
      <c r="E23" s="49">
        <v>113.53333333333332</v>
      </c>
      <c r="F23" s="49">
        <v>35.966666666666669</v>
      </c>
      <c r="G23" s="49">
        <v>396.06666666666666</v>
      </c>
      <c r="H23" s="49">
        <v>46.800000000000004</v>
      </c>
      <c r="I23" s="49">
        <v>125.66666666666667</v>
      </c>
      <c r="J23" s="49">
        <v>404.29999999999995</v>
      </c>
      <c r="K23" s="49">
        <v>437.23333333333335</v>
      </c>
      <c r="L23" s="49">
        <v>2244.2333333333336</v>
      </c>
    </row>
    <row r="24" spans="1:12" x14ac:dyDescent="0.25">
      <c r="A24" s="45" t="s">
        <v>20</v>
      </c>
      <c r="B24" s="43" t="s">
        <v>180</v>
      </c>
      <c r="C24" s="45"/>
      <c r="D24" s="49">
        <v>769.16666666666663</v>
      </c>
      <c r="E24" s="49">
        <v>115.26666666666667</v>
      </c>
      <c r="F24" s="49">
        <v>20.8</v>
      </c>
      <c r="G24" s="49">
        <v>461.06666666666666</v>
      </c>
      <c r="H24" s="49">
        <v>33.799999999999997</v>
      </c>
      <c r="I24" s="49">
        <v>130</v>
      </c>
      <c r="J24" s="49">
        <v>382.20000000000005</v>
      </c>
      <c r="K24" s="49">
        <v>394.33333333333331</v>
      </c>
      <c r="L24" s="49">
        <v>2306.6333333333332</v>
      </c>
    </row>
    <row r="25" spans="1:12" x14ac:dyDescent="0.25">
      <c r="A25" s="45" t="s">
        <v>181</v>
      </c>
      <c r="B25" s="77" t="s">
        <v>182</v>
      </c>
      <c r="D25" s="49">
        <v>338.86666666666667</v>
      </c>
      <c r="E25" s="49">
        <v>62.833333333333336</v>
      </c>
      <c r="F25" s="49">
        <v>20.366666666666667</v>
      </c>
      <c r="G25" s="49">
        <v>170.29999999999998</v>
      </c>
      <c r="H25" s="49">
        <v>28.166666666666668</v>
      </c>
      <c r="I25" s="49">
        <v>35.533333333333331</v>
      </c>
      <c r="J25" s="49">
        <v>162.93333333333334</v>
      </c>
      <c r="K25" s="49">
        <v>103.13333333333334</v>
      </c>
      <c r="L25" s="49">
        <v>922.13333333333333</v>
      </c>
    </row>
    <row r="26" spans="1:12" x14ac:dyDescent="0.25">
      <c r="A26" s="45" t="s">
        <v>183</v>
      </c>
      <c r="B26" s="77" t="s">
        <v>184</v>
      </c>
      <c r="D26" s="49">
        <v>420.76666666666665</v>
      </c>
      <c r="E26" s="49">
        <v>82.333333333333329</v>
      </c>
      <c r="F26" s="49">
        <v>37.699999999999996</v>
      </c>
      <c r="G26" s="49">
        <v>313.3</v>
      </c>
      <c r="H26" s="49">
        <v>52.43333333333333</v>
      </c>
      <c r="I26" s="49">
        <v>50.266666666666659</v>
      </c>
      <c r="J26" s="49">
        <v>290.76666666666665</v>
      </c>
      <c r="K26" s="49">
        <v>282.09999999999997</v>
      </c>
      <c r="L26" s="49">
        <v>1529.6666666666665</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jZWGd3ej9Ly0u+JnxJjxdA/Zxp6yzePkDFRVgXYMVhe8grDb6ENvcy4PsdSM747Lkt0hPv47PukKNIYSPT+4Ww==" saltValue="mYytTM/6806NYN9NAIrj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194</v>
      </c>
      <c r="I1" s="56" t="s">
        <v>195</v>
      </c>
    </row>
    <row r="2" spans="1:9" ht="15.75" x14ac:dyDescent="0.25">
      <c r="A2" s="113" t="s">
        <v>189</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204</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165</v>
      </c>
    </row>
    <row r="29" spans="1:9" x14ac:dyDescent="0.25">
      <c r="A29" t="s">
        <v>166</v>
      </c>
      <c r="B29" s="73">
        <v>0</v>
      </c>
      <c r="C29" s="73">
        <f>B30-B29</f>
        <v>12570</v>
      </c>
      <c r="D29" s="74">
        <v>0</v>
      </c>
    </row>
    <row r="30" spans="1:9" x14ac:dyDescent="0.25">
      <c r="A30" t="s">
        <v>167</v>
      </c>
      <c r="B30" s="73">
        <v>12570</v>
      </c>
      <c r="C30" s="73">
        <f>B31-B30</f>
        <v>37700</v>
      </c>
      <c r="D30" s="74">
        <v>0.2</v>
      </c>
    </row>
    <row r="31" spans="1:9" x14ac:dyDescent="0.25">
      <c r="A31" t="s">
        <v>168</v>
      </c>
      <c r="B31" s="73">
        <v>50270</v>
      </c>
      <c r="C31" s="73">
        <f>B32</f>
        <v>125140</v>
      </c>
      <c r="D31" s="74">
        <v>0.4</v>
      </c>
    </row>
    <row r="32" spans="1:9" x14ac:dyDescent="0.25">
      <c r="A32" t="s">
        <v>169</v>
      </c>
      <c r="B32" s="73">
        <v>125140</v>
      </c>
      <c r="C32" s="73"/>
      <c r="D32" s="74">
        <v>0.45</v>
      </c>
    </row>
    <row r="33" spans="1:4" x14ac:dyDescent="0.25">
      <c r="A33" t="s">
        <v>170</v>
      </c>
      <c r="B33" s="73">
        <v>100000</v>
      </c>
      <c r="C33" s="73"/>
      <c r="D33" s="75">
        <v>2</v>
      </c>
    </row>
    <row r="35" spans="1:4" x14ac:dyDescent="0.25">
      <c r="A35" s="8" t="s">
        <v>171</v>
      </c>
    </row>
    <row r="36" spans="1:4" x14ac:dyDescent="0.25">
      <c r="A36" t="s">
        <v>172</v>
      </c>
      <c r="B36" s="73">
        <v>12570</v>
      </c>
      <c r="C36" s="73">
        <f>B36</f>
        <v>12570</v>
      </c>
      <c r="D36" s="74">
        <v>0</v>
      </c>
    </row>
    <row r="37" spans="1:4" x14ac:dyDescent="0.25">
      <c r="A37" t="s">
        <v>167</v>
      </c>
      <c r="B37" s="73">
        <v>50270</v>
      </c>
      <c r="C37" s="73">
        <f>B37-B36</f>
        <v>37700</v>
      </c>
      <c r="D37" s="124">
        <v>0.08</v>
      </c>
    </row>
    <row r="38" spans="1:4" x14ac:dyDescent="0.25">
      <c r="A38" t="s">
        <v>168</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731.03333333333342</v>
      </c>
    </row>
    <row r="3" spans="1:6" ht="16.5" thickBot="1" x14ac:dyDescent="0.3">
      <c r="A3" s="2" t="s">
        <v>22</v>
      </c>
      <c r="B3" s="1"/>
      <c r="C3" s="1"/>
      <c r="D3" s="1"/>
      <c r="E3" s="1"/>
      <c r="F3" s="4">
        <f>SUM(Income!F14+Income!H14+Income!J14+Income!L14)-Calc!F2</f>
        <v>-731.03333333333342</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188</v>
      </c>
      <c r="E3" s="114" t="s">
        <v>193</v>
      </c>
    </row>
    <row r="4" spans="1:17" x14ac:dyDescent="0.25">
      <c r="A4" s="84" t="s">
        <v>187</v>
      </c>
      <c r="E4" s="143" t="s">
        <v>192</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190</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156</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158</v>
      </c>
      <c r="E22" t="s">
        <v>159</v>
      </c>
    </row>
    <row r="23" spans="1:5" x14ac:dyDescent="0.25">
      <c r="A23" s="107" t="s">
        <v>39</v>
      </c>
      <c r="E23" t="s">
        <v>79</v>
      </c>
    </row>
    <row r="24" spans="1:5" x14ac:dyDescent="0.25">
      <c r="A24" s="107" t="s">
        <v>40</v>
      </c>
      <c r="E24" t="s">
        <v>132</v>
      </c>
    </row>
    <row r="26" spans="1:5" x14ac:dyDescent="0.25">
      <c r="A26" s="84" t="s">
        <v>41</v>
      </c>
    </row>
    <row r="27" spans="1:5" x14ac:dyDescent="0.25">
      <c r="A27" s="107" t="s">
        <v>160</v>
      </c>
      <c r="E27" t="s">
        <v>80</v>
      </c>
    </row>
    <row r="28" spans="1:5" x14ac:dyDescent="0.25">
      <c r="A28" s="107" t="s">
        <v>161</v>
      </c>
      <c r="E28" t="s">
        <v>80</v>
      </c>
    </row>
    <row r="29" spans="1:5" x14ac:dyDescent="0.25">
      <c r="A29" s="107" t="s">
        <v>162</v>
      </c>
      <c r="E29" t="s">
        <v>81</v>
      </c>
    </row>
    <row r="30" spans="1:5" x14ac:dyDescent="0.25">
      <c r="A30" s="107" t="s">
        <v>163</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164</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196</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197</v>
      </c>
      <c r="B1" t="s">
        <v>16</v>
      </c>
      <c r="C1" t="s">
        <v>200</v>
      </c>
    </row>
    <row r="2" spans="1:3" x14ac:dyDescent="0.25">
      <c r="A2" t="s">
        <v>198</v>
      </c>
      <c r="B2" t="s">
        <v>183</v>
      </c>
      <c r="C2" t="s">
        <v>201</v>
      </c>
    </row>
    <row r="6" spans="1:3" x14ac:dyDescent="0.25">
      <c r="A6" t="s">
        <v>203</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2026-06-01T08:27:47Z</dcterms:modified>
</cp:coreProperties>
</file>