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ocal_DUD024361\INetCache\Content.Outlook\A45QKAE2\"/>
    </mc:Choice>
  </mc:AlternateContent>
  <xr:revisionPtr revIDLastSave="0" documentId="13_ncr:1_{AC45FE83-0471-4D8A-BD4A-DCF3EE7C06AB}" xr6:coauthVersionLast="47" xr6:coauthVersionMax="47" xr10:uidLastSave="{00000000-0000-0000-0000-000000000000}"/>
  <workbookProtection workbookAlgorithmName="SHA-512" workbookHashValue="Oax+cKSBWsLEokDWimXRId1QEG5PueBvytI+2mo1FHZ47c+wATybayetFyzaKYZ4+qlX5pJhxxEhy0e6vwkHbg==" workbookSaltValue="+O7vd+XR7nAIypJ1xKXYNg==" workbookSpinCount="100000" lockStructure="1"/>
  <bookViews>
    <workbookView xWindow="-120" yWindow="-120" windowWidth="29040" windowHeight="15720" activeTab="2" xr2:uid="{00000000-000D-0000-FFFF-FFFF00000000}"/>
  </bookViews>
  <sheets>
    <sheet name="Income" sheetId="1" r:id="rId1"/>
    <sheet name="Expenditure" sheetId="15" r:id="rId2"/>
    <sheet name="Results" sheetId="3" r:id="rId3"/>
    <sheet name="Lists2" sheetId="20" state="hidden" r:id="rId4"/>
    <sheet name="Calc" sheetId="7" state="hidden" r:id="rId5"/>
    <sheet name="Lists" sheetId="17" state="hidden" r:id="rId6"/>
    <sheet name="Income Calculator" sheetId="14" state="hidden" r:id="rId7"/>
    <sheet name="Part &amp; Part" sheetId="9" r:id="rId8"/>
    <sheet name="ONS Data" sheetId="16" state="hidden" r:id="rId9"/>
    <sheet name="BTL Product Data" sheetId="10" state="hidden" r:id="rId10"/>
    <sheet name="ONS Data BTL" sheetId="19" state="hidden" r:id="rId11"/>
    <sheet name="Income Multiplier" sheetId="12" state="hidden" r:id="rId12"/>
  </sheets>
  <externalReferences>
    <externalReference r:id="rId13"/>
    <externalReference r:id="rId14"/>
    <externalReference r:id="rId15"/>
  </externalReferences>
  <definedNames>
    <definedName name="GL">#REF!</definedName>
    <definedName name="greaterL">#REF!</definedName>
    <definedName name="GreaterLDN">'ONS Data BTL'!$A$10:$B$29</definedName>
    <definedName name="greaterlondon">#REF!</definedName>
    <definedName name="_xlnm.Print_Area" localSheetId="1">Expenditure!$A$1:$T$36</definedName>
    <definedName name="_xlnm.Print_Area" localSheetId="0">Income!$A$1:$I$28</definedName>
    <definedName name="_xlnm.Print_Area" localSheetId="2">Results!$A$1:$Q$44</definedName>
    <definedName name="prodrate" localSheetId="1">[1]Results!#REF!</definedName>
    <definedName name="prodrate" localSheetId="6">[2]Results!#REF!</definedName>
    <definedName name="prodrate" localSheetId="8">[3]Results!#REF!</definedName>
    <definedName name="prodrate">Results!#REF!</definedName>
    <definedName name="Query_from_DPR_DMART" localSheetId="9" hidden="1">'BTL Product Data'!$A$1:$L$12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3" l="1"/>
  <c r="I4" i="14"/>
  <c r="I11" i="14" s="1"/>
  <c r="I3" i="14"/>
  <c r="I6" i="14" s="1"/>
  <c r="I7" i="14" s="1"/>
  <c r="I8" i="14" s="1"/>
  <c r="I13" i="14" s="1"/>
  <c r="G4" i="14"/>
  <c r="G11" i="14" s="1"/>
  <c r="G3" i="14"/>
  <c r="G6" i="14" s="1"/>
  <c r="G7" i="14" s="1"/>
  <c r="G8" i="14" s="1"/>
  <c r="G13" i="14" s="1"/>
  <c r="E4" i="14"/>
  <c r="E9" i="14" s="1"/>
  <c r="E10" i="14" s="1"/>
  <c r="E21" i="14" s="1"/>
  <c r="E3" i="14"/>
  <c r="E6" i="14" s="1"/>
  <c r="E7" i="14" s="1"/>
  <c r="E8" i="14" s="1"/>
  <c r="E13" i="14" s="1"/>
  <c r="B3" i="14"/>
  <c r="B4" i="14"/>
  <c r="B11" i="14" s="1"/>
  <c r="L12" i="1"/>
  <c r="I2" i="14" s="1"/>
  <c r="J12" i="1"/>
  <c r="G2" i="14" s="1"/>
  <c r="H12" i="1"/>
  <c r="E2" i="14" s="1"/>
  <c r="F12" i="1"/>
  <c r="C37" i="14"/>
  <c r="C36" i="14"/>
  <c r="E11" i="14" l="1"/>
  <c r="G9" i="14"/>
  <c r="G10" i="14" s="1"/>
  <c r="G21" i="14" s="1"/>
  <c r="I9" i="14"/>
  <c r="I10" i="14" s="1"/>
  <c r="I21" i="14" s="1"/>
  <c r="I14" i="14"/>
  <c r="I15" i="14"/>
  <c r="I16" i="14" s="1"/>
  <c r="G15" i="14"/>
  <c r="G16" i="14" s="1"/>
  <c r="G14" i="14"/>
  <c r="E14" i="14"/>
  <c r="E15" i="14"/>
  <c r="E16" i="14" s="1"/>
  <c r="B9" i="14"/>
  <c r="E13" i="19"/>
  <c r="I17" i="14" l="1"/>
  <c r="I18" i="14" s="1"/>
  <c r="I20" i="14" s="1"/>
  <c r="I23" i="14" s="1"/>
  <c r="I25" i="14" s="1"/>
  <c r="G17" i="14"/>
  <c r="G18" i="14" s="1"/>
  <c r="G20" i="14" s="1"/>
  <c r="G23" i="14" s="1"/>
  <c r="G25" i="14" s="1"/>
  <c r="E17" i="14"/>
  <c r="E18" i="14" s="1"/>
  <c r="E20" i="14" s="1"/>
  <c r="E23" i="14" s="1"/>
  <c r="E25" i="14" s="1"/>
  <c r="G13" i="19"/>
  <c r="H7" i="3" l="1"/>
  <c r="M9" i="15" l="1"/>
  <c r="M10" i="15"/>
  <c r="M11" i="15"/>
  <c r="M12" i="15"/>
  <c r="M13" i="15"/>
  <c r="M8" i="15"/>
  <c r="H14" i="15"/>
  <c r="G14" i="15"/>
  <c r="O29" i="15" l="1"/>
  <c r="M29" i="15" s="1"/>
  <c r="O26" i="15"/>
  <c r="M26" i="15" s="1"/>
  <c r="O20" i="15"/>
  <c r="M20" i="15" s="1"/>
  <c r="C31" i="14" l="1"/>
  <c r="C30" i="14"/>
  <c r="C29" i="14"/>
  <c r="A11" i="14"/>
  <c r="A9" i="14"/>
  <c r="H21" i="3"/>
  <c r="O27" i="15" l="1"/>
  <c r="M27" i="15" s="1"/>
  <c r="F31" i="15" l="1"/>
  <c r="M30" i="15"/>
  <c r="M28" i="15"/>
  <c r="M22" i="15"/>
  <c r="M21" i="15"/>
  <c r="I14" i="15"/>
  <c r="F14" i="15"/>
  <c r="M14" i="15" s="1"/>
  <c r="B1" i="15"/>
  <c r="L14" i="1" l="1"/>
  <c r="J14" i="1"/>
  <c r="M31" i="15"/>
  <c r="H10" i="3" l="1"/>
  <c r="H9" i="3"/>
  <c r="H12" i="3"/>
  <c r="H13" i="3"/>
  <c r="H11" i="3"/>
  <c r="H25" i="3" l="1"/>
  <c r="H23" i="3"/>
  <c r="B1" i="1" l="1"/>
  <c r="B2" i="14"/>
  <c r="G15" i="9"/>
  <c r="I47" i="3" l="1"/>
  <c r="J47" i="3" s="1"/>
  <c r="B6" i="14" l="1"/>
  <c r="B7" i="14" s="1"/>
  <c r="B8" i="14" s="1"/>
  <c r="B10" i="14"/>
  <c r="H14" i="1" l="1"/>
  <c r="B21" i="14"/>
  <c r="B13" i="14"/>
  <c r="B15" i="14" l="1"/>
  <c r="E14" i="19" s="1"/>
  <c r="M19" i="3" s="1"/>
  <c r="H27" i="3" s="1"/>
  <c r="B14" i="14"/>
  <c r="H32" i="3" l="1"/>
  <c r="G14" i="19"/>
  <c r="O18" i="15"/>
  <c r="M18" i="15" s="1"/>
  <c r="B17" i="14"/>
  <c r="B18" i="14" s="1"/>
  <c r="B16" i="14"/>
  <c r="H30" i="3" l="1"/>
  <c r="B20" i="14"/>
  <c r="B23" i="14" s="1"/>
  <c r="H47" i="3" l="1"/>
  <c r="F19" i="15"/>
  <c r="M19" i="15" s="1"/>
  <c r="M23" i="15" s="1"/>
  <c r="M34" i="15" s="1"/>
  <c r="B25" i="14"/>
  <c r="F14" i="1" s="1"/>
  <c r="H37" i="3" s="1"/>
  <c r="H39" i="3" s="1"/>
  <c r="H49" i="3" l="1"/>
  <c r="F23" i="15"/>
  <c r="F34" i="15" s="1"/>
  <c r="H43" i="3" s="1"/>
  <c r="M16" i="9"/>
  <c r="M13" i="9"/>
  <c r="F2" i="7" l="1"/>
  <c r="F3" i="7" s="1"/>
  <c r="A1" i="7" s="1"/>
  <c r="H45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DPR_DMART" type="1" refreshedVersion="8" background="1" saveData="1">
    <dbPr connection="DRIVER=SQL Server;SERVER=DBS-SQL01\DBS2016;UID=DUD00177;Trusted_Connection=Yes;APP=Microsoft Office 2016;WSID=DBS-RDS01;DATABASE=DPR_DMART" command="exec Output_Active_BTL_Product_Rates 1"/>
  </connection>
</connections>
</file>

<file path=xl/sharedStrings.xml><?xml version="1.0" encoding="utf-8"?>
<sst xmlns="http://schemas.openxmlformats.org/spreadsheetml/2006/main" count="379" uniqueCount="243">
  <si>
    <t>Applicant 1</t>
  </si>
  <si>
    <t>Applicant 2</t>
  </si>
  <si>
    <t>Personal Tax Allowance</t>
  </si>
  <si>
    <t>Total</t>
  </si>
  <si>
    <t>Monthly Net Income</t>
  </si>
  <si>
    <t>Expenditure</t>
  </si>
  <si>
    <t>Communication</t>
  </si>
  <si>
    <t>Health</t>
  </si>
  <si>
    <t>Food/Groceries</t>
  </si>
  <si>
    <t>Alcohol/Cigarettes</t>
  </si>
  <si>
    <t>Clothing</t>
  </si>
  <si>
    <t>Recreation</t>
  </si>
  <si>
    <t>Transport</t>
  </si>
  <si>
    <t>Monthly</t>
  </si>
  <si>
    <t>A</t>
  </si>
  <si>
    <t>B</t>
  </si>
  <si>
    <t>C</t>
  </si>
  <si>
    <t>D</t>
  </si>
  <si>
    <t>E</t>
  </si>
  <si>
    <t>F</t>
  </si>
  <si>
    <t>G</t>
  </si>
  <si>
    <t>Household Expenditure</t>
  </si>
  <si>
    <t>Free Disposable Income</t>
  </si>
  <si>
    <t>Mortgage</t>
  </si>
  <si>
    <t>Total Loan</t>
  </si>
  <si>
    <t>Current SVR</t>
  </si>
  <si>
    <t>Term in Years</t>
  </si>
  <si>
    <t>Stressed Interest Rate</t>
  </si>
  <si>
    <t>Stressed Monthly Payment</t>
  </si>
  <si>
    <t>Mortgage Payment as % of Disp Income</t>
  </si>
  <si>
    <t>Income Multiplier Test</t>
  </si>
  <si>
    <t>Expenditure From Budget Planner</t>
  </si>
  <si>
    <t>Expenditure Used</t>
  </si>
  <si>
    <t xml:space="preserve">Credit Commitments </t>
  </si>
  <si>
    <t>Sub Total</t>
  </si>
  <si>
    <t>Committed Expenditure</t>
  </si>
  <si>
    <t>Council Tax</t>
  </si>
  <si>
    <t>Nursery/School/University Fees</t>
  </si>
  <si>
    <t>Personal Expenditure</t>
  </si>
  <si>
    <t>Total Expenditure</t>
  </si>
  <si>
    <t>Loan Repayments</t>
  </si>
  <si>
    <t>Other Standing Orders &amp; Direct Debits</t>
  </si>
  <si>
    <t>Expenditure (Monthly)</t>
  </si>
  <si>
    <t>Any Other Expenses</t>
  </si>
  <si>
    <t>Income</t>
  </si>
  <si>
    <t>Total Gross Income</t>
  </si>
  <si>
    <t>Household Code</t>
  </si>
  <si>
    <t>% Affordability Result</t>
  </si>
  <si>
    <t>Remaining Monthly Income Result</t>
  </si>
  <si>
    <t>Affordability Results</t>
  </si>
  <si>
    <t>Results</t>
  </si>
  <si>
    <t>Taxable Income</t>
  </si>
  <si>
    <t>Taxed at 20%</t>
  </si>
  <si>
    <t>Amount To Be Taxed at 20%</t>
  </si>
  <si>
    <t>Taxed at 40%</t>
  </si>
  <si>
    <t>Taxed at 45%</t>
  </si>
  <si>
    <t>Amount To Be Taxed at 40%</t>
  </si>
  <si>
    <t>Amount To Be Taxed at 45%</t>
  </si>
  <si>
    <t>Tax Deductions</t>
  </si>
  <si>
    <t>NI Deductions</t>
  </si>
  <si>
    <t>PASS</t>
  </si>
  <si>
    <t>Equal to or less than 45%</t>
  </si>
  <si>
    <t>REFER</t>
  </si>
  <si>
    <t xml:space="preserve">DECLINE </t>
  </si>
  <si>
    <t>Greater than 55%</t>
  </si>
  <si>
    <t>46% - 55%  (Exception may be excercised)</t>
  </si>
  <si>
    <t>Remaining Monthly Income Result*</t>
  </si>
  <si>
    <t>*Household Expenditure Test</t>
  </si>
  <si>
    <t>The borrower has enough income to cover the mortgage payment, financial commitments and their household expenditure</t>
  </si>
  <si>
    <t>FAIL</t>
  </si>
  <si>
    <t>The borrower does not have enough income to cover the mortgage, their commitments and their household expenditure</t>
  </si>
  <si>
    <t>Credit Card / Store Card Monthly Payments *</t>
  </si>
  <si>
    <t>Expenditure From Credit Check / App</t>
  </si>
  <si>
    <t>ONS</t>
  </si>
  <si>
    <t>Remaining Monthly Income</t>
  </si>
  <si>
    <t>Maintenance / CSA Payments</t>
  </si>
  <si>
    <t>Cost of Repayment Strategy (Interest Only)</t>
  </si>
  <si>
    <t>Is the loan Capital &amp; Interest or Interest Only - Input C or I</t>
  </si>
  <si>
    <t>How to Calculate Part and Part Affordability</t>
  </si>
  <si>
    <t>Input income information on the 'Income' tab as with all assessments</t>
  </si>
  <si>
    <t>1)</t>
  </si>
  <si>
    <t>2)</t>
  </si>
  <si>
    <t>Input expenditure information on the 'Expenditure' tab as with all assessments</t>
  </si>
  <si>
    <t>3)</t>
  </si>
  <si>
    <t>4)</t>
  </si>
  <si>
    <t>Input the Term in Years</t>
  </si>
  <si>
    <t>5)</t>
  </si>
  <si>
    <r>
      <t xml:space="preserve">On the 'Results' screen input the Total Loan Amount that is to be assessed on a </t>
    </r>
    <r>
      <rPr>
        <b/>
        <sz val="11"/>
        <color indexed="8"/>
        <rFont val="Calibri"/>
        <family val="2"/>
      </rPr>
      <t>Capital Repayment Basis</t>
    </r>
  </si>
  <si>
    <r>
      <t>Input</t>
    </r>
    <r>
      <rPr>
        <b/>
        <sz val="11"/>
        <color indexed="8"/>
        <rFont val="Calibri"/>
        <family val="2"/>
      </rPr>
      <t xml:space="preserve"> 'C'</t>
    </r>
    <r>
      <rPr>
        <sz val="11"/>
        <color theme="1"/>
        <rFont val="Calibri"/>
        <family val="2"/>
        <scheme val="minor"/>
      </rPr>
      <t xml:space="preserve"> for Capital and Interest</t>
    </r>
  </si>
  <si>
    <t>6)</t>
  </si>
  <si>
    <t>Note down the Stressed Monthly Payment</t>
  </si>
  <si>
    <t>7)</t>
  </si>
  <si>
    <t>Note down the Remaining Monthly Income</t>
  </si>
  <si>
    <t>8)</t>
  </si>
  <si>
    <r>
      <t xml:space="preserve">Input the </t>
    </r>
    <r>
      <rPr>
        <b/>
        <sz val="11"/>
        <color indexed="8"/>
        <rFont val="Calibri"/>
        <family val="2"/>
      </rPr>
      <t>Total Loan Amount</t>
    </r>
    <r>
      <rPr>
        <sz val="11"/>
        <color theme="1"/>
        <rFont val="Calibri"/>
        <family val="2"/>
        <scheme val="minor"/>
      </rPr>
      <t xml:space="preserve"> that is to be assessed on an </t>
    </r>
    <r>
      <rPr>
        <b/>
        <sz val="11"/>
        <color indexed="8"/>
        <rFont val="Calibri"/>
        <family val="2"/>
      </rPr>
      <t>Interest Only Basis</t>
    </r>
  </si>
  <si>
    <t>9)</t>
  </si>
  <si>
    <r>
      <t xml:space="preserve">Input </t>
    </r>
    <r>
      <rPr>
        <b/>
        <sz val="11"/>
        <color indexed="8"/>
        <rFont val="Calibri"/>
        <family val="2"/>
      </rPr>
      <t>'I'</t>
    </r>
    <r>
      <rPr>
        <sz val="11"/>
        <color theme="1"/>
        <rFont val="Calibri"/>
        <family val="2"/>
        <scheme val="minor"/>
      </rPr>
      <t xml:space="preserve"> for Interest Only</t>
    </r>
  </si>
  <si>
    <t>10)</t>
  </si>
  <si>
    <t>11)</t>
  </si>
  <si>
    <t>Take away the Interest Only stressed payment from the Remaining Monthly Income previously captured</t>
  </si>
  <si>
    <t>12)</t>
  </si>
  <si>
    <t>13)</t>
  </si>
  <si>
    <t>Add the two stressed monthly payments together</t>
  </si>
  <si>
    <t xml:space="preserve">14) </t>
  </si>
  <si>
    <t>Divide the two stressed monthly payments by the total net income</t>
  </si>
  <si>
    <t>15)</t>
  </si>
  <si>
    <t>If the number is 45% of less, this is a pass</t>
  </si>
  <si>
    <t>If the number is 46% - 55%, this is a refer</t>
  </si>
  <si>
    <t>If the number is greater than 56%, this is a decline</t>
  </si>
  <si>
    <t>16)</t>
  </si>
  <si>
    <t>Input the Total Loan Amount on the 'Results' screen to view the income multiples</t>
  </si>
  <si>
    <t>If the number is a positive, the part and part affordability has passed the Remaining Income Test</t>
  </si>
  <si>
    <t>Date</t>
  </si>
  <si>
    <t>*Use 3% of total balances unless borrower declares higher monthly payment</t>
  </si>
  <si>
    <t>Ensure not negative</t>
  </si>
  <si>
    <t>Expected Rental Income PCM</t>
  </si>
  <si>
    <t>Residential Mortgage Payment / Personal Rent</t>
  </si>
  <si>
    <t>ProductRateDescription</t>
  </si>
  <si>
    <t>RateValue</t>
  </si>
  <si>
    <t>Pay_Rate</t>
  </si>
  <si>
    <t>StressedRate</t>
  </si>
  <si>
    <t>scheduleType</t>
  </si>
  <si>
    <t>Discounted</t>
  </si>
  <si>
    <t>FixedProdTerm</t>
  </si>
  <si>
    <t/>
  </si>
  <si>
    <t>Product Type</t>
  </si>
  <si>
    <t>Fixed Rate Term</t>
  </si>
  <si>
    <t>If Fixed, is the rate fixed for 5 years or more</t>
  </si>
  <si>
    <t>If Fixed for 5 years, Initial Rate</t>
  </si>
  <si>
    <t>Landlord Costs</t>
  </si>
  <si>
    <t xml:space="preserve">Total </t>
  </si>
  <si>
    <t>Remortgage</t>
  </si>
  <si>
    <t>New Property</t>
  </si>
  <si>
    <t>Mortgage Type</t>
  </si>
  <si>
    <t>Income Type</t>
  </si>
  <si>
    <t>Sole</t>
  </si>
  <si>
    <t>Joint</t>
  </si>
  <si>
    <t>Multiplier</t>
  </si>
  <si>
    <t>I.C.R. Results</t>
  </si>
  <si>
    <t>Use Income</t>
  </si>
  <si>
    <t>ProdTerm</t>
  </si>
  <si>
    <t>offeringSetName</t>
  </si>
  <si>
    <t>Buy to Let</t>
  </si>
  <si>
    <t>Utilities (Housing, Fuel, Power and Communication)</t>
  </si>
  <si>
    <t>Housekeeping (Food, Drink, Alcohol and Cigarettes)</t>
  </si>
  <si>
    <t>Recreation (including Clothing, Footwear and Essential Repairs)</t>
  </si>
  <si>
    <t>Travel and Transport</t>
  </si>
  <si>
    <t>Life Assurance Premiums/Insurance Policies (including Pensions and Regular Savings)</t>
  </si>
  <si>
    <t>Housing, Fuel &amp; Power and Communication</t>
  </si>
  <si>
    <t>ICR_Rate</t>
  </si>
  <si>
    <t>LCRRate</t>
  </si>
  <si>
    <t>Remort</t>
  </si>
  <si>
    <t>LCRRate2</t>
  </si>
  <si>
    <t>Further Advances</t>
  </si>
  <si>
    <t>Rental Shortfall</t>
  </si>
  <si>
    <t xml:space="preserve">Minimum Rental Income </t>
  </si>
  <si>
    <t>Maximum Loan Amount</t>
  </si>
  <si>
    <t xml:space="preserve">I.C.R % </t>
  </si>
  <si>
    <t>% I.C.R. Required</t>
  </si>
  <si>
    <t>Rental Income is less than or equal to % I.C.R. Required</t>
  </si>
  <si>
    <t>Rental Income is greater than % I.C.R. Required therefore use Affordability Calculations</t>
  </si>
  <si>
    <t>I.C.R. Result</t>
  </si>
  <si>
    <t>Tax Limits</t>
  </si>
  <si>
    <t xml:space="preserve">Band 1 </t>
  </si>
  <si>
    <t>Band 2</t>
  </si>
  <si>
    <t>Band 3</t>
  </si>
  <si>
    <t>Band 4</t>
  </si>
  <si>
    <t>Threshold</t>
  </si>
  <si>
    <t>NI Limits</t>
  </si>
  <si>
    <t>Band 1</t>
  </si>
  <si>
    <t>H</t>
  </si>
  <si>
    <t>I</t>
  </si>
  <si>
    <t>1 Adult - Retired</t>
  </si>
  <si>
    <t>2 Adults - non-retired</t>
  </si>
  <si>
    <t>2 Adults - Retired</t>
  </si>
  <si>
    <t>1 Adult - non-retired</t>
  </si>
  <si>
    <t>1 Adult 1 Dependent</t>
  </si>
  <si>
    <t>1 Adult 2 Dependent</t>
  </si>
  <si>
    <t>2 Adults 1 Dependent</t>
  </si>
  <si>
    <t>2 Adults 2 Dependents</t>
  </si>
  <si>
    <t>2 Adults 3 Dependents</t>
  </si>
  <si>
    <t>N</t>
  </si>
  <si>
    <t>AL</t>
  </si>
  <si>
    <t>BR</t>
  </si>
  <si>
    <t>CR</t>
  </si>
  <si>
    <t>DA</t>
  </si>
  <si>
    <t>EN</t>
  </si>
  <si>
    <t>HA</t>
  </si>
  <si>
    <t>IG</t>
  </si>
  <si>
    <t>LU</t>
  </si>
  <si>
    <t>EC</t>
  </si>
  <si>
    <t>NW</t>
  </si>
  <si>
    <t>SE</t>
  </si>
  <si>
    <t>SW</t>
  </si>
  <si>
    <t>W</t>
  </si>
  <si>
    <t>WC</t>
  </si>
  <si>
    <t>SM</t>
  </si>
  <si>
    <t>TW</t>
  </si>
  <si>
    <t>UB</t>
  </si>
  <si>
    <t>WD</t>
  </si>
  <si>
    <t>YES</t>
  </si>
  <si>
    <t>London</t>
  </si>
  <si>
    <t>Not London</t>
  </si>
  <si>
    <t>Higher Tax</t>
  </si>
  <si>
    <t>Lower Tax</t>
  </si>
  <si>
    <t>London address?</t>
  </si>
  <si>
    <t>no</t>
  </si>
  <si>
    <t>Higher tax?</t>
  </si>
  <si>
    <t>Income Multiplier Result</t>
  </si>
  <si>
    <t>DECLINE</t>
  </si>
  <si>
    <t>First letter(s) of security postcode 
(must be completed)</t>
  </si>
  <si>
    <t xml:space="preserve">If a purchase or a remortgage with additional borrowing, enter 'Y'. If a remortgage with no additional borrowing, enter 'N'. </t>
  </si>
  <si>
    <t>Gross Annual Income (taxable)</t>
  </si>
  <si>
    <t>Gross Annual Income (non-taxable)</t>
  </si>
  <si>
    <t>Total Annual Income</t>
  </si>
  <si>
    <t>Total Net Monthly Income</t>
  </si>
  <si>
    <t>Applicant 3</t>
  </si>
  <si>
    <t>Applicant 4</t>
  </si>
  <si>
    <t xml:space="preserve"> </t>
  </si>
  <si>
    <t>• LTI is less than or equal to Joint/Sole maximum LTI for unregulated loans
• Regulated remortgage with no additional borrowing and % Affordability Result is Pass
• Regulated purchase or remortgage with additional is less than 4.5 LTI and % Affordability Result is Pass</t>
  </si>
  <si>
    <t>• Regulated Remortgage with no additional borrowing - LTI is above 4.49 and % Affordability result is Refer
• Other regulated remortgage where % Affordability Result is Refer</t>
  </si>
  <si>
    <t>• LTI is above  Joint/Sole maximum LTI 
• LTI for regulated purchases or regulated remortgage with no additional is not met
• % Affordability Result is not a Pass</t>
  </si>
  <si>
    <t>Is the case a purchase or remortgage?</t>
  </si>
  <si>
    <t>Purchase</t>
  </si>
  <si>
    <t>Please complete all fields highlighted in red</t>
  </si>
  <si>
    <t>2yr</t>
  </si>
  <si>
    <t>Fixed</t>
  </si>
  <si>
    <t>Pension Income (taxable)</t>
  </si>
  <si>
    <t>National Insurance Income</t>
  </si>
  <si>
    <t>Is this a Regulated BTL? - Input Y or N</t>
  </si>
  <si>
    <t>Is this a CBTL? - Input Y or N</t>
  </si>
  <si>
    <t>25155 6.05% Two Year Fixed BTL Further Advance</t>
  </si>
  <si>
    <t>25156 6.05% Two Year Fixed Holiday Let Further Advance</t>
  </si>
  <si>
    <t>25157 6.25% Two Year Fixed Expat BTL Further Advance</t>
  </si>
  <si>
    <t>25158 6.25% Two Year Fixed Expat Holiday Let Further Advance</t>
  </si>
  <si>
    <t>25214 2.89% BTL Two Year Discount</t>
  </si>
  <si>
    <t>25215 3.49% Expat BTL Two Year Discount</t>
  </si>
  <si>
    <t>25216 3.29% Expat BTL Two Year Discount</t>
  </si>
  <si>
    <t>25217 2.89% Holiday Let Two Year Discount</t>
  </si>
  <si>
    <t>25219 2.84% Expat Holiday Let Two Year Discount</t>
  </si>
  <si>
    <t>25220 2.94% Expat Holiday Let Two Year Discount</t>
  </si>
  <si>
    <t>25223 3.60% BTL Two Year Discount</t>
  </si>
  <si>
    <t>Version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</si>
</sst>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;[Red]\-&quot;£&quot;#,##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_-&quot;£&quot;* #,##0_-;\-&quot;£&quot;* #,##0_-;_-&quot;£&quot;* &quot;-&quot;??_-;_-@_-"/>
    <numFmt numFmtId="168" formatCode="&quot;£&quot;#,##0.00"/>
    <numFmt numFmtId="169" formatCode="[$-F800]dddd\,\ mmmm\ dd\,\ yyyy"/>
  </numFmts>
  <fonts count="4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Century Gothic"/>
      <family val="2"/>
    </font>
    <font>
      <sz val="10"/>
      <color indexed="8"/>
      <name val="Arial"/>
      <family val="2"/>
    </font>
    <font>
      <sz val="10"/>
      <name val="Century Gothic"/>
      <family val="2"/>
    </font>
    <font>
      <b/>
      <sz val="9"/>
      <color indexed="13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0070C0"/>
      <name val="Arial"/>
      <family val="2"/>
    </font>
    <font>
      <b/>
      <sz val="14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i/>
      <sz val="11"/>
      <color rgb="FF0070C0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9" fontId="10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1" fontId="0" fillId="3" borderId="1" xfId="0" applyNumberFormat="1" applyFill="1" applyBorder="1" applyAlignment="1">
      <alignment horizontal="center"/>
    </xf>
    <xf numFmtId="165" fontId="17" fillId="3" borderId="1" xfId="0" applyNumberFormat="1" applyFont="1" applyFill="1" applyBorder="1" applyAlignment="1">
      <alignment horizontal="center"/>
    </xf>
    <xf numFmtId="10" fontId="5" fillId="0" borderId="0" xfId="4" applyNumberFormat="1" applyFont="1" applyFill="1" applyBorder="1" applyAlignment="1" applyProtection="1">
      <alignment horizontal="center"/>
    </xf>
    <xf numFmtId="1" fontId="5" fillId="0" borderId="0" xfId="0" applyNumberFormat="1" applyFont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9" fillId="0" borderId="0" xfId="0" applyFont="1"/>
    <xf numFmtId="1" fontId="18" fillId="0" borderId="2" xfId="0" applyNumberFormat="1" applyFont="1" applyBorder="1" applyAlignment="1" applyProtection="1">
      <alignment horizontal="center"/>
      <protection locked="0"/>
    </xf>
    <xf numFmtId="165" fontId="20" fillId="3" borderId="2" xfId="2" applyFont="1" applyFill="1" applyBorder="1" applyAlignment="1" applyProtection="1">
      <alignment horizontal="center"/>
    </xf>
    <xf numFmtId="165" fontId="20" fillId="3" borderId="2" xfId="2" applyFont="1" applyFill="1" applyBorder="1" applyProtection="1"/>
    <xf numFmtId="165" fontId="20" fillId="3" borderId="2" xfId="0" applyNumberFormat="1" applyFont="1" applyFill="1" applyBorder="1"/>
    <xf numFmtId="165" fontId="12" fillId="0" borderId="0" xfId="2" applyFont="1" applyFill="1" applyBorder="1" applyProtection="1"/>
    <xf numFmtId="0" fontId="21" fillId="0" borderId="0" xfId="0" applyFont="1"/>
    <xf numFmtId="1" fontId="22" fillId="0" borderId="0" xfId="0" applyNumberFormat="1" applyFont="1" applyAlignment="1">
      <alignment horizontal="center"/>
    </xf>
    <xf numFmtId="1" fontId="12" fillId="0" borderId="2" xfId="0" applyNumberFormat="1" applyFont="1" applyBorder="1" applyAlignment="1" applyProtection="1">
      <alignment horizontal="center"/>
      <protection locked="0"/>
    </xf>
    <xf numFmtId="1" fontId="14" fillId="3" borderId="2" xfId="0" applyNumberFormat="1" applyFont="1" applyFill="1" applyBorder="1" applyAlignment="1">
      <alignment horizontal="center"/>
    </xf>
    <xf numFmtId="1" fontId="23" fillId="3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 applyProtection="1">
      <alignment horizontal="center"/>
      <protection locked="0"/>
    </xf>
    <xf numFmtId="1" fontId="12" fillId="0" borderId="3" xfId="0" applyNumberFormat="1" applyFont="1" applyBorder="1" applyAlignment="1" applyProtection="1">
      <alignment horizontal="center"/>
      <protection locked="0"/>
    </xf>
    <xf numFmtId="1" fontId="19" fillId="3" borderId="3" xfId="0" applyNumberFormat="1" applyFont="1" applyFill="1" applyBorder="1" applyAlignment="1">
      <alignment horizontal="center"/>
    </xf>
    <xf numFmtId="1" fontId="24" fillId="3" borderId="1" xfId="0" applyNumberFormat="1" applyFont="1" applyFill="1" applyBorder="1" applyAlignment="1">
      <alignment horizontal="center"/>
    </xf>
    <xf numFmtId="165" fontId="12" fillId="0" borderId="2" xfId="2" applyFont="1" applyFill="1" applyBorder="1" applyAlignment="1" applyProtection="1">
      <alignment horizontal="center" vertical="center"/>
      <protection locked="0"/>
    </xf>
    <xf numFmtId="165" fontId="12" fillId="0" borderId="2" xfId="2" applyFont="1" applyFill="1" applyBorder="1" applyAlignment="1" applyProtection="1">
      <alignment horizontal="center"/>
      <protection locked="0"/>
    </xf>
    <xf numFmtId="165" fontId="13" fillId="3" borderId="1" xfId="2" applyFont="1" applyFill="1" applyBorder="1" applyAlignment="1" applyProtection="1">
      <alignment horizontal="center"/>
    </xf>
    <xf numFmtId="1" fontId="14" fillId="3" borderId="3" xfId="0" applyNumberFormat="1" applyFont="1" applyFill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9" fontId="10" fillId="0" borderId="0" xfId="4" applyFont="1"/>
    <xf numFmtId="0" fontId="18" fillId="0" borderId="0" xfId="0" applyFont="1"/>
    <xf numFmtId="1" fontId="23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25" fillId="0" borderId="0" xfId="0" applyFont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10" fillId="0" borderId="1" xfId="4" applyFont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2" applyFont="1" applyFill="1" applyBorder="1" applyAlignment="1" applyProtection="1">
      <alignment horizontal="center"/>
    </xf>
    <xf numFmtId="167" fontId="3" fillId="0" borderId="0" xfId="2" applyNumberFormat="1" applyFont="1" applyFill="1" applyBorder="1" applyProtection="1"/>
    <xf numFmtId="165" fontId="3" fillId="0" borderId="0" xfId="2" applyFont="1" applyFill="1" applyBorder="1" applyProtection="1"/>
    <xf numFmtId="0" fontId="2" fillId="0" borderId="0" xfId="0" applyFont="1"/>
    <xf numFmtId="4" fontId="13" fillId="0" borderId="10" xfId="0" applyNumberFormat="1" applyFont="1" applyBorder="1" applyAlignment="1" applyProtection="1">
      <alignment horizontal="right" vertical="center"/>
      <protection locked="0"/>
    </xf>
    <xf numFmtId="3" fontId="13" fillId="0" borderId="11" xfId="0" applyNumberFormat="1" applyFont="1" applyBorder="1" applyAlignment="1" applyProtection="1">
      <alignment horizontal="right" vertical="center"/>
      <protection locked="0"/>
    </xf>
    <xf numFmtId="4" fontId="13" fillId="0" borderId="12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68" fontId="16" fillId="0" borderId="0" xfId="0" applyNumberFormat="1" applyFont="1" applyAlignment="1">
      <alignment horizontal="center" vertical="center"/>
    </xf>
    <xf numFmtId="0" fontId="27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4" fontId="2" fillId="0" borderId="0" xfId="0" applyNumberFormat="1" applyFont="1"/>
    <xf numFmtId="0" fontId="28" fillId="0" borderId="0" xfId="0" applyFont="1" applyAlignment="1">
      <alignment vertical="top"/>
    </xf>
    <xf numFmtId="0" fontId="19" fillId="0" borderId="0" xfId="0" applyFont="1" applyAlignment="1">
      <alignment vertical="center"/>
    </xf>
    <xf numFmtId="10" fontId="16" fillId="0" borderId="0" xfId="4" applyNumberFormat="1" applyFont="1" applyBorder="1" applyAlignment="1" applyProtection="1">
      <alignment horizontal="left" vertical="top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31" fillId="0" borderId="0" xfId="0" applyFont="1"/>
    <xf numFmtId="0" fontId="32" fillId="0" borderId="0" xfId="0" applyFont="1" applyAlignment="1">
      <alignment horizontal="center"/>
    </xf>
    <xf numFmtId="0" fontId="33" fillId="0" borderId="0" xfId="0" applyFont="1"/>
    <xf numFmtId="2" fontId="31" fillId="0" borderId="0" xfId="0" applyNumberFormat="1" applyFont="1"/>
    <xf numFmtId="0" fontId="34" fillId="0" borderId="0" xfId="0" applyFont="1"/>
    <xf numFmtId="2" fontId="35" fillId="0" borderId="0" xfId="0" applyNumberFormat="1" applyFont="1"/>
    <xf numFmtId="0" fontId="35" fillId="0" borderId="0" xfId="0" applyFont="1"/>
    <xf numFmtId="2" fontId="36" fillId="0" borderId="0" xfId="0" applyNumberFormat="1" applyFont="1"/>
    <xf numFmtId="0" fontId="37" fillId="0" borderId="0" xfId="0" applyFont="1"/>
    <xf numFmtId="0" fontId="32" fillId="0" borderId="0" xfId="0" applyFont="1"/>
    <xf numFmtId="2" fontId="32" fillId="0" borderId="0" xfId="0" applyNumberFormat="1" applyFont="1"/>
    <xf numFmtId="0" fontId="38" fillId="0" borderId="0" xfId="0" applyFont="1"/>
    <xf numFmtId="165" fontId="3" fillId="0" borderId="0" xfId="0" applyNumberFormat="1" applyFont="1"/>
    <xf numFmtId="165" fontId="20" fillId="0" borderId="13" xfId="2" applyFont="1" applyFill="1" applyBorder="1" applyProtection="1"/>
    <xf numFmtId="168" fontId="16" fillId="0" borderId="0" xfId="0" applyNumberFormat="1" applyFont="1"/>
    <xf numFmtId="2" fontId="18" fillId="0" borderId="2" xfId="0" applyNumberFormat="1" applyFont="1" applyBorder="1" applyAlignment="1">
      <alignment horizontal="center"/>
    </xf>
    <xf numFmtId="9" fontId="0" fillId="0" borderId="0" xfId="4" applyFont="1" applyAlignment="1" applyProtection="1">
      <alignment horizontal="left" vertical="top"/>
    </xf>
    <xf numFmtId="166" fontId="13" fillId="4" borderId="11" xfId="1" applyFont="1" applyFill="1" applyBorder="1" applyAlignment="1" applyProtection="1">
      <alignment horizontal="right" vertical="center"/>
      <protection hidden="1"/>
    </xf>
    <xf numFmtId="10" fontId="13" fillId="4" borderId="1" xfId="1" applyNumberFormat="1" applyFont="1" applyFill="1" applyBorder="1" applyAlignment="1" applyProtection="1">
      <alignment horizontal="right" vertical="center"/>
      <protection hidden="1"/>
    </xf>
    <xf numFmtId="168" fontId="16" fillId="4" borderId="1" xfId="0" applyNumberFormat="1" applyFont="1" applyFill="1" applyBorder="1" applyAlignment="1" applyProtection="1">
      <alignment horizontal="center" vertical="center"/>
      <protection hidden="1"/>
    </xf>
    <xf numFmtId="10" fontId="16" fillId="4" borderId="1" xfId="4" applyNumberFormat="1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/>
      <protection hidden="1"/>
    </xf>
    <xf numFmtId="9" fontId="16" fillId="4" borderId="1" xfId="4" applyFont="1" applyFill="1" applyBorder="1" applyAlignment="1" applyProtection="1">
      <alignment horizontal="center"/>
      <protection hidden="1"/>
    </xf>
    <xf numFmtId="168" fontId="19" fillId="4" borderId="1" xfId="2" applyNumberFormat="1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2" fontId="16" fillId="4" borderId="1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0" fontId="13" fillId="0" borderId="0" xfId="1" applyNumberFormat="1" applyFont="1" applyFill="1" applyBorder="1" applyAlignment="1" applyProtection="1">
      <alignment horizontal="right" vertical="center"/>
      <protection hidden="1"/>
    </xf>
    <xf numFmtId="168" fontId="0" fillId="0" borderId="0" xfId="0" applyNumberFormat="1"/>
    <xf numFmtId="9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8" fillId="0" borderId="0" xfId="0" applyFont="1" applyAlignment="1" applyProtection="1">
      <alignment horizontal="center"/>
      <protection locked="0"/>
    </xf>
    <xf numFmtId="0" fontId="29" fillId="3" borderId="4" xfId="0" applyFont="1" applyFill="1" applyBorder="1"/>
    <xf numFmtId="0" fontId="11" fillId="0" borderId="0" xfId="0" applyFont="1"/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3" applyAlignment="1">
      <alignment horizontal="center" wrapText="1"/>
    </xf>
    <xf numFmtId="0" fontId="8" fillId="0" borderId="0" xfId="0" applyFont="1"/>
    <xf numFmtId="165" fontId="12" fillId="0" borderId="0" xfId="2" applyFont="1" applyFill="1" applyBorder="1" applyAlignment="1" applyProtection="1">
      <alignment horizontal="center"/>
    </xf>
    <xf numFmtId="165" fontId="12" fillId="0" borderId="0" xfId="2" quotePrefix="1" applyFont="1" applyFill="1" applyBorder="1" applyAlignment="1" applyProtection="1">
      <alignment horizontal="center"/>
    </xf>
    <xf numFmtId="0" fontId="3" fillId="0" borderId="0" xfId="0" quotePrefix="1" applyFont="1" applyAlignment="1">
      <alignment horizontal="center"/>
    </xf>
    <xf numFmtId="165" fontId="12" fillId="0" borderId="0" xfId="2" applyFont="1" applyFill="1" applyAlignment="1" applyProtection="1">
      <alignment horizontal="center"/>
    </xf>
    <xf numFmtId="0" fontId="5" fillId="0" borderId="0" xfId="0" applyFont="1"/>
    <xf numFmtId="10" fontId="3" fillId="0" borderId="0" xfId="4" applyNumberFormat="1" applyFont="1" applyFill="1" applyBorder="1" applyAlignment="1" applyProtection="1">
      <alignment horizontal="center"/>
    </xf>
    <xf numFmtId="0" fontId="24" fillId="0" borderId="0" xfId="0" applyFont="1"/>
    <xf numFmtId="0" fontId="9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67" fontId="10" fillId="0" borderId="0" xfId="2" applyNumberFormat="1" applyFont="1" applyFill="1" applyBorder="1" applyProtection="1"/>
    <xf numFmtId="0" fontId="15" fillId="0" borderId="0" xfId="0" applyFont="1"/>
    <xf numFmtId="1" fontId="3" fillId="0" borderId="0" xfId="0" applyNumberFormat="1" applyFont="1" applyAlignment="1">
      <alignment horizontal="left"/>
    </xf>
    <xf numFmtId="0" fontId="17" fillId="0" borderId="0" xfId="0" applyFont="1"/>
    <xf numFmtId="0" fontId="26" fillId="0" borderId="0" xfId="0" applyFont="1"/>
    <xf numFmtId="4" fontId="16" fillId="2" borderId="0" xfId="0" applyNumberFormat="1" applyFont="1" applyFill="1"/>
    <xf numFmtId="0" fontId="4" fillId="0" borderId="0" xfId="0" applyFont="1"/>
    <xf numFmtId="166" fontId="0" fillId="0" borderId="0" xfId="0" applyNumberFormat="1"/>
    <xf numFmtId="168" fontId="19" fillId="0" borderId="0" xfId="0" applyNumberFormat="1" applyFont="1" applyAlignment="1">
      <alignment horizontal="center"/>
    </xf>
    <xf numFmtId="4" fontId="3" fillId="0" borderId="0" xfId="0" applyNumberFormat="1" applyFont="1"/>
    <xf numFmtId="4" fontId="3" fillId="0" borderId="0" xfId="0" applyNumberFormat="1" applyFont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/>
    <xf numFmtId="0" fontId="39" fillId="0" borderId="0" xfId="0" applyFont="1"/>
    <xf numFmtId="2" fontId="31" fillId="0" borderId="0" xfId="2" applyNumberFormat="1" applyFont="1"/>
    <xf numFmtId="2" fontId="37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10" fontId="0" fillId="0" borderId="0" xfId="0" applyNumberFormat="1"/>
    <xf numFmtId="9" fontId="0" fillId="0" borderId="0" xfId="4" applyFont="1"/>
    <xf numFmtId="165" fontId="12" fillId="0" borderId="0" xfId="2" applyFont="1" applyFill="1" applyBorder="1" applyAlignment="1" applyProtection="1">
      <alignment horizontal="center" vertical="center"/>
      <protection locked="0"/>
    </xf>
    <xf numFmtId="4" fontId="13" fillId="0" borderId="11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Alignment="1">
      <alignment horizontal="center"/>
    </xf>
    <xf numFmtId="0" fontId="0" fillId="0" borderId="0" xfId="0"/>
    <xf numFmtId="169" fontId="29" fillId="3" borderId="5" xfId="0" applyNumberFormat="1" applyFont="1" applyFill="1" applyBorder="1" applyAlignment="1">
      <alignment horizontal="center"/>
    </xf>
    <xf numFmtId="169" fontId="29" fillId="3" borderId="6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 wrapText="1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40" fillId="0" borderId="0" xfId="0" applyFont="1" applyAlignment="1">
      <alignment horizontal="left"/>
    </xf>
    <xf numFmtId="0" fontId="27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5" borderId="7" xfId="0" applyFont="1" applyFill="1" applyBorder="1" applyAlignment="1" applyProtection="1">
      <alignment wrapText="1"/>
      <protection locked="0"/>
    </xf>
    <xf numFmtId="0" fontId="19" fillId="5" borderId="8" xfId="0" applyFont="1" applyFill="1" applyBorder="1" applyAlignment="1" applyProtection="1">
      <alignment wrapText="1"/>
      <protection locked="0"/>
    </xf>
    <xf numFmtId="0" fontId="19" fillId="5" borderId="9" xfId="0" applyFont="1" applyFill="1" applyBorder="1" applyAlignment="1" applyProtection="1">
      <alignment wrapText="1"/>
      <protection locked="0"/>
    </xf>
    <xf numFmtId="0" fontId="19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_Sheet1" xfId="3" xr:uid="{00000000-0005-0000-0000-000003000000}"/>
    <cellStyle name="Per cent" xfId="4" builtinId="5"/>
  </cellStyles>
  <dxfs count="2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600075</xdr:colOff>
          <xdr:row>0</xdr:row>
          <xdr:rowOff>190500</xdr:rowOff>
        </xdr:from>
        <xdr:to>
          <xdr:col>12</xdr:col>
          <xdr:colOff>28575</xdr:colOff>
          <xdr:row>2</xdr:row>
          <xdr:rowOff>38100</xdr:rowOff>
        </xdr:to>
        <xdr:sp macro="" textlink="">
          <xdr:nvSpPr>
            <xdr:cNvPr id="3084" name="Butto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Refresh Product Data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Calculators/Internal%20Affordability%20V24%20-%20Protec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udleybuildingsociety.co.uk/intermediary/Downloads/External%20Affordability%20V13%20-%20protec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roducts\Mortgages\Calculators\Macro%20Calculators\External%20Affordability%20V16%20-%20protected%20with%20macr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Data"/>
    </sheetNames>
    <sheetDataSet>
      <sheetData sheetId="0">
        <row r="21">
          <cell r="F21" t="str">
            <v>A</v>
          </cell>
        </row>
      </sheetData>
      <sheetData sheetId="1"/>
      <sheetData sheetId="2"/>
      <sheetData sheetId="3">
        <row r="1">
          <cell r="A1" t="str">
            <v>Expenditure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 Data"/>
    </sheetNames>
    <sheetDataSet>
      <sheetData sheetId="0">
        <row r="10">
          <cell r="I1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Da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DPR_DMART" preserveFormatting="0" connectionId="1" xr16:uid="{00000000-0016-0000-0800-000000000000}" autoFormatId="16" applyNumberFormats="0" applyBorderFormats="0" applyFontFormats="0" applyPatternFormats="0" applyAlignmentFormats="0" applyWidthHeightFormats="0">
  <queryTableRefresh preserveSortFilterLayout="0" nextId="13">
    <queryTableFields count="12">
      <queryTableField id="1" name="ProductRateDescription" tableColumnId="1"/>
      <queryTableField id="2" name="RateValue" tableColumnId="2"/>
      <queryTableField id="3" name="Pay_Rate" tableColumnId="3"/>
      <queryTableField id="4" name="StressedRate" tableColumnId="4"/>
      <queryTableField id="5" name="FixedProdTerm" tableColumnId="5"/>
      <queryTableField id="6" name="scheduleType" tableColumnId="6"/>
      <queryTableField id="7" name="ProdTerm" tableColumnId="7"/>
      <queryTableField id="8" name="offeringSetName" tableColumnId="8"/>
      <queryTableField id="9" name="ICR_Rate" tableColumnId="9"/>
      <queryTableField id="10" name="LCRRate" tableColumnId="10"/>
      <queryTableField id="11" name="Remort" tableColumnId="11"/>
      <queryTableField id="12" name="LCRRate2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from_DPR_DMART" displayName="Table_Query_from_DPR_DMART" ref="A1:L12" tableType="queryTable" totalsRowShown="0">
  <autoFilter ref="A1:L12" xr:uid="{00000000-000C-0000-FFFF-FFFF00000000}"/>
  <tableColumns count="12">
    <tableColumn id="1" xr3:uid="{7EC82D75-306B-43AF-A0C2-64316C03DECD}" uniqueName="1" name="ProductRateDescription" queryTableFieldId="1"/>
    <tableColumn id="2" xr3:uid="{08698719-9F1E-4F16-897A-B9AC08C19EC3}" uniqueName="2" name="RateValue" queryTableFieldId="2"/>
    <tableColumn id="3" xr3:uid="{46FCEF3A-27FE-46A5-866E-607A9ED0D393}" uniqueName="3" name="Pay_Rate" queryTableFieldId="3"/>
    <tableColumn id="4" xr3:uid="{DC4627D5-F230-486E-A8A3-E124ED3C4F84}" uniqueName="4" name="StressedRate" queryTableFieldId="4"/>
    <tableColumn id="5" xr3:uid="{CE61AB62-B8DA-4C10-A600-5CEC8CB010DD}" uniqueName="5" name="FixedProdTerm" queryTableFieldId="5"/>
    <tableColumn id="6" xr3:uid="{750D3498-BEF0-40D3-AC22-304FB1348C4A}" uniqueName="6" name="scheduleType" queryTableFieldId="6"/>
    <tableColumn id="7" xr3:uid="{132E0154-0928-42FD-BD1B-1816778F34AA}" uniqueName="7" name="ProdTerm" queryTableFieldId="7"/>
    <tableColumn id="8" xr3:uid="{8DC651ED-DC5B-4F37-8130-58F46B78726B}" uniqueName="8" name="offeringSetName" queryTableFieldId="8"/>
    <tableColumn id="9" xr3:uid="{69008022-6B97-4EE6-A6CC-6581F4F93437}" uniqueName="9" name="ICR_Rate" queryTableFieldId="9"/>
    <tableColumn id="10" xr3:uid="{A9197FEF-9C12-4092-A94B-3B2C02D4F054}" uniqueName="10" name="LCRRate" queryTableFieldId="10"/>
    <tableColumn id="11" xr3:uid="{240AE3A5-8D52-42A6-8809-33D9E32A2C0E}" uniqueName="11" name="Remort" queryTableFieldId="11"/>
    <tableColumn id="12" xr3:uid="{E2BD51B6-CE6F-4E46-AD53-82C4FEE1A255}" uniqueName="12" name="LCRRate2" queryTableField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1"/>
  <sheetViews>
    <sheetView zoomScale="90" zoomScaleNormal="90" workbookViewId="0">
      <selection activeCell="F6" sqref="F6"/>
    </sheetView>
  </sheetViews>
  <sheetFormatPr defaultColWidth="9.140625" defaultRowHeight="15" x14ac:dyDescent="0.25"/>
  <cols>
    <col min="1" max="1" width="6.42578125" customWidth="1"/>
    <col min="2" max="2" width="10.42578125" customWidth="1"/>
    <col min="3" max="3" width="11.140625" customWidth="1"/>
    <col min="4" max="4" width="10.5703125" bestFit="1" customWidth="1"/>
    <col min="5" max="5" width="4" customWidth="1"/>
    <col min="6" max="6" width="13.85546875" bestFit="1" customWidth="1"/>
    <col min="7" max="7" width="8.42578125" customWidth="1"/>
    <col min="8" max="8" width="13.5703125" bestFit="1" customWidth="1"/>
    <col min="10" max="10" width="13.5703125" bestFit="1" customWidth="1"/>
    <col min="12" max="12" width="13.5703125" bestFit="1" customWidth="1"/>
  </cols>
  <sheetData>
    <row r="1" spans="1:12" ht="16.5" thickBot="1" x14ac:dyDescent="0.3">
      <c r="A1" s="97" t="s">
        <v>112</v>
      </c>
      <c r="B1" s="141">
        <f ca="1">TODAY()</f>
        <v>46106</v>
      </c>
      <c r="C1" s="142"/>
    </row>
    <row r="2" spans="1:12" ht="15.75" x14ac:dyDescent="0.25">
      <c r="A2" t="s">
        <v>242</v>
      </c>
      <c r="C2" s="147" t="s">
        <v>224</v>
      </c>
      <c r="D2" s="147"/>
      <c r="E2" s="147"/>
      <c r="F2" s="147"/>
      <c r="G2" s="147"/>
    </row>
    <row r="3" spans="1:12" ht="18.75" x14ac:dyDescent="0.3">
      <c r="A3" s="98" t="s">
        <v>44</v>
      </c>
    </row>
    <row r="4" spans="1:12" x14ac:dyDescent="0.25">
      <c r="F4" s="99" t="s">
        <v>0</v>
      </c>
      <c r="H4" s="99" t="s">
        <v>1</v>
      </c>
      <c r="J4" s="99" t="s">
        <v>216</v>
      </c>
      <c r="L4" s="99" t="s">
        <v>217</v>
      </c>
    </row>
    <row r="5" spans="1:12" x14ac:dyDescent="0.25">
      <c r="F5" s="99"/>
      <c r="H5" s="99"/>
      <c r="J5" s="99"/>
      <c r="L5" s="99"/>
    </row>
    <row r="6" spans="1:12" x14ac:dyDescent="0.25">
      <c r="A6" s="57" t="s">
        <v>212</v>
      </c>
      <c r="C6" s="100"/>
      <c r="D6" s="101"/>
      <c r="E6" s="102"/>
      <c r="F6" s="23">
        <v>0</v>
      </c>
      <c r="G6" s="103"/>
      <c r="H6" s="23">
        <v>0</v>
      </c>
      <c r="J6" s="23">
        <v>0</v>
      </c>
      <c r="L6" s="23">
        <v>0</v>
      </c>
    </row>
    <row r="7" spans="1:12" x14ac:dyDescent="0.25">
      <c r="A7" s="57"/>
      <c r="C7" s="100"/>
      <c r="D7" s="101"/>
      <c r="E7" s="102"/>
      <c r="F7" s="137"/>
      <c r="G7" s="103"/>
      <c r="H7" s="137"/>
      <c r="J7" s="137"/>
      <c r="L7" s="137"/>
    </row>
    <row r="8" spans="1:12" x14ac:dyDescent="0.25">
      <c r="A8" s="57" t="s">
        <v>227</v>
      </c>
      <c r="C8" s="107"/>
      <c r="D8" s="107"/>
      <c r="E8" s="108"/>
      <c r="F8" s="23">
        <v>0</v>
      </c>
      <c r="G8" s="103"/>
      <c r="H8" s="23">
        <v>0</v>
      </c>
      <c r="J8" s="23">
        <v>0</v>
      </c>
      <c r="L8" s="23">
        <v>0</v>
      </c>
    </row>
    <row r="9" spans="1:12" x14ac:dyDescent="0.25">
      <c r="A9" s="57"/>
      <c r="E9" s="105"/>
      <c r="F9" s="106"/>
      <c r="G9" s="104"/>
      <c r="H9" s="106"/>
      <c r="J9" s="106"/>
      <c r="L9" s="106"/>
    </row>
    <row r="10" spans="1:12" x14ac:dyDescent="0.25">
      <c r="A10" s="57" t="s">
        <v>213</v>
      </c>
      <c r="C10" s="107"/>
      <c r="D10" s="107"/>
      <c r="E10" s="108"/>
      <c r="F10" s="24">
        <v>0</v>
      </c>
      <c r="G10" s="103"/>
      <c r="H10" s="24">
        <v>0</v>
      </c>
      <c r="J10" s="24">
        <v>0</v>
      </c>
      <c r="L10" s="24">
        <v>0</v>
      </c>
    </row>
    <row r="11" spans="1:12" ht="15.75" thickBot="1" x14ac:dyDescent="0.3">
      <c r="A11" s="57"/>
      <c r="C11" s="107"/>
      <c r="D11" s="107"/>
      <c r="E11" s="41"/>
      <c r="F11" s="103"/>
      <c r="G11" s="103"/>
      <c r="H11" s="103"/>
      <c r="J11" s="103"/>
      <c r="L11" s="103"/>
    </row>
    <row r="12" spans="1:12" ht="15.75" thickBot="1" x14ac:dyDescent="0.3">
      <c r="A12" s="57" t="s">
        <v>45</v>
      </c>
      <c r="C12" s="107"/>
      <c r="D12" s="107"/>
      <c r="E12" s="41"/>
      <c r="F12" s="25">
        <f>SUM(F6+F8+F10)</f>
        <v>0</v>
      </c>
      <c r="G12" s="103"/>
      <c r="H12" s="25">
        <f>SUM(H6+H8+H10)</f>
        <v>0</v>
      </c>
      <c r="J12" s="25">
        <f>SUM(J6+J8+J10)</f>
        <v>0</v>
      </c>
      <c r="L12" s="25">
        <f>SUM(L6+L8+L10)</f>
        <v>0</v>
      </c>
    </row>
    <row r="13" spans="1:12" ht="15.75" thickBot="1" x14ac:dyDescent="0.3">
      <c r="A13" s="57"/>
      <c r="C13" s="107"/>
      <c r="D13" s="107"/>
      <c r="E13" s="41"/>
      <c r="F13" s="103"/>
      <c r="G13" s="103"/>
      <c r="H13" s="103"/>
      <c r="J13" s="103"/>
      <c r="L13" s="103"/>
    </row>
    <row r="14" spans="1:12" ht="16.5" thickBot="1" x14ac:dyDescent="0.3">
      <c r="A14" s="109" t="s">
        <v>215</v>
      </c>
      <c r="C14" s="107"/>
      <c r="D14" s="107"/>
      <c r="E14" s="108"/>
      <c r="F14" s="25">
        <f>SUM('Income Calculator'!B25)</f>
        <v>0</v>
      </c>
      <c r="G14" s="103"/>
      <c r="H14" s="25">
        <f>SUM('Income Calculator'!E25)</f>
        <v>0</v>
      </c>
      <c r="J14" s="25">
        <f>SUM('Income Calculator'!G25)</f>
        <v>0</v>
      </c>
      <c r="L14" s="25">
        <f>SUM('Income Calculator'!I25)</f>
        <v>0</v>
      </c>
    </row>
    <row r="15" spans="1:12" x14ac:dyDescent="0.25">
      <c r="A15" s="57"/>
      <c r="C15" s="107"/>
      <c r="D15" s="107"/>
      <c r="E15" s="108"/>
      <c r="F15" s="103"/>
      <c r="G15" s="103"/>
      <c r="H15" s="103"/>
      <c r="K15" s="63"/>
    </row>
    <row r="16" spans="1:12" ht="15.75" thickBot="1" x14ac:dyDescent="0.3">
      <c r="A16" s="110"/>
      <c r="C16" s="107"/>
      <c r="E16" s="108"/>
      <c r="F16" s="108"/>
      <c r="G16" s="108"/>
      <c r="H16" s="108"/>
      <c r="K16" s="63"/>
    </row>
    <row r="17" spans="1:11" ht="15.75" thickBot="1" x14ac:dyDescent="0.3">
      <c r="A17" s="57" t="s">
        <v>133</v>
      </c>
      <c r="F17" s="27" t="s">
        <v>14</v>
      </c>
      <c r="H17" s="134" t="s">
        <v>14</v>
      </c>
      <c r="I17" s="146" t="s">
        <v>131</v>
      </c>
      <c r="J17" s="140"/>
      <c r="K17" s="63"/>
    </row>
    <row r="18" spans="1:11" x14ac:dyDescent="0.25">
      <c r="H18" s="134" t="s">
        <v>15</v>
      </c>
      <c r="I18" s="146" t="s">
        <v>132</v>
      </c>
      <c r="J18" s="140"/>
      <c r="K18" s="63"/>
    </row>
    <row r="19" spans="1:11" ht="15.75" thickBot="1" x14ac:dyDescent="0.3">
      <c r="H19" s="33"/>
      <c r="K19" s="63"/>
    </row>
    <row r="20" spans="1:11" ht="15.75" thickBot="1" x14ac:dyDescent="0.3">
      <c r="A20" s="57" t="s">
        <v>46</v>
      </c>
      <c r="F20" s="27" t="s">
        <v>14</v>
      </c>
      <c r="H20" s="134" t="s">
        <v>14</v>
      </c>
      <c r="I20" s="146" t="s">
        <v>175</v>
      </c>
      <c r="J20" s="140"/>
      <c r="K20" s="63"/>
    </row>
    <row r="21" spans="1:11" x14ac:dyDescent="0.25">
      <c r="H21" s="134" t="s">
        <v>15</v>
      </c>
      <c r="I21" s="146" t="s">
        <v>173</v>
      </c>
      <c r="J21" s="140"/>
      <c r="K21" s="63"/>
    </row>
    <row r="22" spans="1:11" x14ac:dyDescent="0.25">
      <c r="H22" s="134" t="s">
        <v>16</v>
      </c>
      <c r="I22" s="146" t="s">
        <v>176</v>
      </c>
      <c r="J22" s="140"/>
      <c r="K22" s="63"/>
    </row>
    <row r="23" spans="1:11" x14ac:dyDescent="0.25">
      <c r="A23" s="57" t="s">
        <v>115</v>
      </c>
      <c r="C23" s="107"/>
      <c r="D23" s="107"/>
      <c r="E23" s="41"/>
      <c r="F23" s="24">
        <v>0</v>
      </c>
      <c r="H23" s="134" t="s">
        <v>17</v>
      </c>
      <c r="I23" s="146" t="s">
        <v>177</v>
      </c>
      <c r="J23" s="140"/>
      <c r="K23" s="63"/>
    </row>
    <row r="24" spans="1:11" x14ac:dyDescent="0.25">
      <c r="H24" s="134" t="s">
        <v>18</v>
      </c>
      <c r="I24" s="146" t="s">
        <v>178</v>
      </c>
      <c r="J24" s="140"/>
      <c r="K24" s="63"/>
    </row>
    <row r="25" spans="1:11" ht="15.75" thickBot="1" x14ac:dyDescent="0.3">
      <c r="H25" s="134" t="s">
        <v>19</v>
      </c>
      <c r="I25" s="146" t="s">
        <v>179</v>
      </c>
      <c r="J25" s="140"/>
      <c r="K25" s="63"/>
    </row>
    <row r="26" spans="1:11" ht="17.25" customHeight="1" x14ac:dyDescent="0.25">
      <c r="A26" s="143" t="s">
        <v>210</v>
      </c>
      <c r="B26" s="143"/>
      <c r="C26" s="143"/>
      <c r="D26" s="143"/>
      <c r="F26" s="144"/>
      <c r="H26" s="134" t="s">
        <v>20</v>
      </c>
      <c r="I26" s="146" t="s">
        <v>180</v>
      </c>
      <c r="J26" s="140"/>
      <c r="K26" s="63"/>
    </row>
    <row r="27" spans="1:11" ht="15.75" thickBot="1" x14ac:dyDescent="0.3">
      <c r="A27" s="143"/>
      <c r="B27" s="143"/>
      <c r="C27" s="143"/>
      <c r="D27" s="143"/>
      <c r="F27" s="145"/>
      <c r="H27" s="51" t="s">
        <v>170</v>
      </c>
      <c r="I27" s="139" t="s">
        <v>172</v>
      </c>
      <c r="J27" s="140"/>
      <c r="K27" s="63"/>
    </row>
    <row r="28" spans="1:11" x14ac:dyDescent="0.25">
      <c r="H28" s="51" t="s">
        <v>171</v>
      </c>
      <c r="I28" s="139" t="s">
        <v>174</v>
      </c>
      <c r="J28" s="140"/>
      <c r="K28" s="63"/>
    </row>
    <row r="29" spans="1:11" x14ac:dyDescent="0.25">
      <c r="K29" s="63"/>
    </row>
    <row r="30" spans="1:11" ht="29.25" customHeight="1" x14ac:dyDescent="0.25">
      <c r="K30" s="63"/>
    </row>
    <row r="31" spans="1:11" x14ac:dyDescent="0.25">
      <c r="H31" s="130"/>
      <c r="K31" s="63"/>
    </row>
  </sheetData>
  <sheetProtection algorithmName="SHA-512" hashValue="4BWoINX7VLCekg2jQ1xSZLzAVu+Wi9h6t7QDCGGnOy9gVDLl6zpOr6GFyodb+xYGyxR7x69qRorTIiOjfupd1w==" saltValue="uwi/wLp8q2fg0FQ+h1uH1A==" spinCount="100000" sheet="1" selectLockedCells="1"/>
  <mergeCells count="15">
    <mergeCell ref="I28:J28"/>
    <mergeCell ref="B1:C1"/>
    <mergeCell ref="A26:D27"/>
    <mergeCell ref="F26:F27"/>
    <mergeCell ref="I17:J17"/>
    <mergeCell ref="I18:J18"/>
    <mergeCell ref="I20:J20"/>
    <mergeCell ref="I21:J21"/>
    <mergeCell ref="I22:J22"/>
    <mergeCell ref="I23:J23"/>
    <mergeCell ref="I24:J24"/>
    <mergeCell ref="I25:J25"/>
    <mergeCell ref="I26:J26"/>
    <mergeCell ref="I27:J27"/>
    <mergeCell ref="C2:G2"/>
  </mergeCells>
  <conditionalFormatting sqref="F26">
    <cfRule type="containsBlanks" dxfId="22" priority="1">
      <formula>LEN(TRIM(F26))=0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2199C7-E301-4CB0-BE2B-C82A12664E66}">
          <x14:formula1>
            <xm:f>Lists!$A$1:$A$2</xm:f>
          </x14:formula1>
          <xm:sqref>F17</xm:sqref>
        </x14:dataValidation>
        <x14:dataValidation type="list" allowBlank="1" showInputMessage="1" showErrorMessage="1" xr:uid="{EAD97DB0-9114-4B4A-B8F3-17C9D12A8AD0}">
          <x14:formula1>
            <xm:f>Lists!$B$1:$B$9</xm:f>
          </x14:formula1>
          <xm:sqref>F20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L12"/>
  <sheetViews>
    <sheetView workbookViewId="0">
      <selection activeCell="A2" sqref="A2"/>
    </sheetView>
  </sheetViews>
  <sheetFormatPr defaultRowHeight="15" x14ac:dyDescent="0.25"/>
  <cols>
    <col min="1" max="1" width="57.42578125" bestFit="1" customWidth="1"/>
    <col min="2" max="2" width="12.42578125" bestFit="1" customWidth="1"/>
    <col min="3" max="3" width="11.42578125" bestFit="1" customWidth="1"/>
    <col min="4" max="4" width="14.85546875" bestFit="1" customWidth="1"/>
    <col min="5" max="5" width="17" bestFit="1" customWidth="1"/>
    <col min="6" max="6" width="15.7109375" bestFit="1" customWidth="1"/>
    <col min="7" max="7" width="12" bestFit="1" customWidth="1"/>
    <col min="8" max="8" width="18.7109375" bestFit="1" customWidth="1"/>
    <col min="9" max="9" width="11.140625" bestFit="1" customWidth="1"/>
    <col min="10" max="10" width="10.42578125" bestFit="1" customWidth="1"/>
    <col min="11" max="11" width="9.85546875" bestFit="1" customWidth="1"/>
    <col min="12" max="12" width="11.42578125" bestFit="1" customWidth="1"/>
  </cols>
  <sheetData>
    <row r="1" spans="1:12" x14ac:dyDescent="0.25">
      <c r="A1" t="s">
        <v>117</v>
      </c>
      <c r="B1" t="s">
        <v>118</v>
      </c>
      <c r="C1" t="s">
        <v>119</v>
      </c>
      <c r="D1" t="s">
        <v>120</v>
      </c>
      <c r="E1" t="s">
        <v>123</v>
      </c>
      <c r="F1" t="s">
        <v>121</v>
      </c>
      <c r="G1" t="s">
        <v>140</v>
      </c>
      <c r="H1" t="s">
        <v>141</v>
      </c>
      <c r="I1" t="s">
        <v>149</v>
      </c>
      <c r="J1" t="s">
        <v>150</v>
      </c>
      <c r="K1" t="s">
        <v>151</v>
      </c>
      <c r="L1" t="s">
        <v>152</v>
      </c>
    </row>
    <row r="2" spans="1:12" x14ac:dyDescent="0.25">
      <c r="A2" t="s">
        <v>231</v>
      </c>
      <c r="B2">
        <v>8.59</v>
      </c>
      <c r="C2">
        <v>6.05</v>
      </c>
      <c r="D2">
        <v>8.0500000000000007</v>
      </c>
      <c r="E2" t="s">
        <v>225</v>
      </c>
      <c r="F2" t="s">
        <v>226</v>
      </c>
      <c r="G2" t="s">
        <v>225</v>
      </c>
      <c r="H2" t="s">
        <v>153</v>
      </c>
      <c r="I2">
        <v>8.0500000000000007</v>
      </c>
      <c r="J2">
        <v>140</v>
      </c>
      <c r="K2">
        <v>0</v>
      </c>
      <c r="L2">
        <v>140</v>
      </c>
    </row>
    <row r="3" spans="1:12" x14ac:dyDescent="0.25">
      <c r="A3" t="s">
        <v>232</v>
      </c>
      <c r="B3">
        <v>8.59</v>
      </c>
      <c r="C3">
        <v>6.05</v>
      </c>
      <c r="D3">
        <v>8.0500000000000007</v>
      </c>
      <c r="E3" t="s">
        <v>225</v>
      </c>
      <c r="F3" t="s">
        <v>226</v>
      </c>
      <c r="G3" t="s">
        <v>225</v>
      </c>
      <c r="H3" t="s">
        <v>153</v>
      </c>
      <c r="I3">
        <v>8.0500000000000007</v>
      </c>
      <c r="J3">
        <v>140</v>
      </c>
      <c r="K3">
        <v>0</v>
      </c>
      <c r="L3">
        <v>140</v>
      </c>
    </row>
    <row r="4" spans="1:12" x14ac:dyDescent="0.25">
      <c r="A4" t="s">
        <v>233</v>
      </c>
      <c r="B4">
        <v>8.59</v>
      </c>
      <c r="C4">
        <v>6.25</v>
      </c>
      <c r="D4">
        <v>8.25</v>
      </c>
      <c r="E4" t="s">
        <v>225</v>
      </c>
      <c r="F4" t="s">
        <v>226</v>
      </c>
      <c r="G4" t="s">
        <v>225</v>
      </c>
      <c r="H4" t="s">
        <v>153</v>
      </c>
      <c r="I4">
        <v>8.25</v>
      </c>
      <c r="J4">
        <v>140</v>
      </c>
      <c r="K4">
        <v>0</v>
      </c>
      <c r="L4">
        <v>140</v>
      </c>
    </row>
    <row r="5" spans="1:12" x14ac:dyDescent="0.25">
      <c r="A5" t="s">
        <v>234</v>
      </c>
      <c r="B5">
        <v>8.59</v>
      </c>
      <c r="C5">
        <v>6.25</v>
      </c>
      <c r="D5">
        <v>8.25</v>
      </c>
      <c r="E5" t="s">
        <v>225</v>
      </c>
      <c r="F5" t="s">
        <v>226</v>
      </c>
      <c r="G5" t="s">
        <v>225</v>
      </c>
      <c r="H5" t="s">
        <v>153</v>
      </c>
      <c r="I5">
        <v>8.25</v>
      </c>
      <c r="J5">
        <v>140</v>
      </c>
      <c r="K5">
        <v>0</v>
      </c>
      <c r="L5">
        <v>140</v>
      </c>
    </row>
    <row r="6" spans="1:12" x14ac:dyDescent="0.25">
      <c r="A6" t="s">
        <v>235</v>
      </c>
      <c r="B6">
        <v>8.59</v>
      </c>
      <c r="C6">
        <v>5.7</v>
      </c>
      <c r="D6">
        <v>7.7</v>
      </c>
      <c r="E6" t="s">
        <v>124</v>
      </c>
      <c r="F6" t="s">
        <v>122</v>
      </c>
      <c r="G6" t="s">
        <v>225</v>
      </c>
      <c r="H6" t="s">
        <v>142</v>
      </c>
      <c r="I6">
        <v>7.7</v>
      </c>
      <c r="J6">
        <v>140</v>
      </c>
      <c r="K6">
        <v>0</v>
      </c>
      <c r="L6">
        <v>140</v>
      </c>
    </row>
    <row r="7" spans="1:12" x14ac:dyDescent="0.25">
      <c r="A7" t="s">
        <v>236</v>
      </c>
      <c r="B7">
        <v>8.59</v>
      </c>
      <c r="C7">
        <v>5.0999999999999996</v>
      </c>
      <c r="D7">
        <v>7.1</v>
      </c>
      <c r="E7" t="s">
        <v>124</v>
      </c>
      <c r="F7" t="s">
        <v>122</v>
      </c>
      <c r="G7" t="s">
        <v>225</v>
      </c>
      <c r="H7" t="s">
        <v>142</v>
      </c>
      <c r="I7">
        <v>7.1</v>
      </c>
      <c r="J7">
        <v>140</v>
      </c>
      <c r="K7">
        <v>0</v>
      </c>
      <c r="L7">
        <v>140</v>
      </c>
    </row>
    <row r="8" spans="1:12" x14ac:dyDescent="0.25">
      <c r="A8" t="s">
        <v>237</v>
      </c>
      <c r="B8">
        <v>8.59</v>
      </c>
      <c r="C8">
        <v>5.3</v>
      </c>
      <c r="D8">
        <v>7.3</v>
      </c>
      <c r="E8" t="s">
        <v>124</v>
      </c>
      <c r="F8" t="s">
        <v>122</v>
      </c>
      <c r="G8" t="s">
        <v>225</v>
      </c>
      <c r="H8" t="s">
        <v>142</v>
      </c>
      <c r="I8">
        <v>7.3</v>
      </c>
      <c r="J8">
        <v>140</v>
      </c>
      <c r="K8">
        <v>0</v>
      </c>
      <c r="L8">
        <v>140</v>
      </c>
    </row>
    <row r="9" spans="1:12" x14ac:dyDescent="0.25">
      <c r="A9" t="s">
        <v>238</v>
      </c>
      <c r="B9">
        <v>8.59</v>
      </c>
      <c r="C9">
        <v>5.7</v>
      </c>
      <c r="D9">
        <v>7.7</v>
      </c>
      <c r="E9" t="s">
        <v>124</v>
      </c>
      <c r="F9" t="s">
        <v>122</v>
      </c>
      <c r="G9" t="s">
        <v>225</v>
      </c>
      <c r="H9" t="s">
        <v>142</v>
      </c>
      <c r="I9">
        <v>7.7</v>
      </c>
      <c r="J9">
        <v>140</v>
      </c>
      <c r="K9">
        <v>0</v>
      </c>
      <c r="L9">
        <v>140</v>
      </c>
    </row>
    <row r="10" spans="1:12" x14ac:dyDescent="0.25">
      <c r="A10" t="s">
        <v>239</v>
      </c>
      <c r="B10">
        <v>8.59</v>
      </c>
      <c r="C10">
        <v>5.75</v>
      </c>
      <c r="D10">
        <v>7.75</v>
      </c>
      <c r="E10" t="s">
        <v>124</v>
      </c>
      <c r="F10" t="s">
        <v>122</v>
      </c>
      <c r="G10" t="s">
        <v>225</v>
      </c>
      <c r="H10" t="s">
        <v>142</v>
      </c>
      <c r="I10">
        <v>7.75</v>
      </c>
      <c r="J10">
        <v>140</v>
      </c>
      <c r="K10">
        <v>0</v>
      </c>
      <c r="L10">
        <v>140</v>
      </c>
    </row>
    <row r="11" spans="1:12" x14ac:dyDescent="0.25">
      <c r="A11" t="s">
        <v>240</v>
      </c>
      <c r="B11">
        <v>8.59</v>
      </c>
      <c r="C11">
        <v>5.65</v>
      </c>
      <c r="D11">
        <v>7.65</v>
      </c>
      <c r="E11" t="s">
        <v>124</v>
      </c>
      <c r="F11" t="s">
        <v>122</v>
      </c>
      <c r="G11" t="s">
        <v>225</v>
      </c>
      <c r="H11" t="s">
        <v>142</v>
      </c>
      <c r="I11">
        <v>7.65</v>
      </c>
      <c r="J11">
        <v>140</v>
      </c>
      <c r="K11">
        <v>0</v>
      </c>
      <c r="L11">
        <v>140</v>
      </c>
    </row>
    <row r="12" spans="1:12" x14ac:dyDescent="0.25">
      <c r="A12" t="s">
        <v>241</v>
      </c>
      <c r="B12">
        <v>8.59</v>
      </c>
      <c r="C12">
        <v>4.99</v>
      </c>
      <c r="D12">
        <v>6.99</v>
      </c>
      <c r="E12" t="s">
        <v>124</v>
      </c>
      <c r="F12" t="s">
        <v>122</v>
      </c>
      <c r="G12" t="s">
        <v>225</v>
      </c>
      <c r="H12" t="s">
        <v>142</v>
      </c>
      <c r="I12">
        <v>6.99</v>
      </c>
      <c r="J12">
        <v>140</v>
      </c>
      <c r="K12">
        <v>0</v>
      </c>
      <c r="L12">
        <v>140</v>
      </c>
    </row>
  </sheetData>
  <sheetProtection algorithmName="SHA-512" hashValue="KaPHuIScZRr0aoEA8DrFXlXz0L5P0BXyxh5CBTF+qBDL/K+zdBSqqmiUWeSS2qDnxQHHhieFwVnRyuATk9mR2g==" saltValue="W8GQBX9ZIC0fXFUDDz4BQQ==" spinCount="100000" sheet="1" objects="1" scenarios="1" formatCells="0" formatColumns="0" formatRows="0" sort="0" autoFilter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27CD-69DE-48B8-A1BF-14D4861A21E2}">
  <sheetPr codeName="Sheet10"/>
  <dimension ref="A1:G29"/>
  <sheetViews>
    <sheetView workbookViewId="0">
      <selection activeCell="J11" sqref="J11"/>
    </sheetView>
  </sheetViews>
  <sheetFormatPr defaultRowHeight="15" x14ac:dyDescent="0.25"/>
  <sheetData>
    <row r="1" spans="1:7" x14ac:dyDescent="0.25">
      <c r="A1" t="s">
        <v>129</v>
      </c>
      <c r="D1" t="s">
        <v>130</v>
      </c>
    </row>
    <row r="4" spans="1:7" x14ac:dyDescent="0.25">
      <c r="A4" t="s">
        <v>14</v>
      </c>
      <c r="B4" t="s">
        <v>131</v>
      </c>
    </row>
    <row r="5" spans="1:7" x14ac:dyDescent="0.25">
      <c r="A5" t="s">
        <v>15</v>
      </c>
      <c r="B5" t="s">
        <v>132</v>
      </c>
    </row>
    <row r="8" spans="1:7" x14ac:dyDescent="0.25">
      <c r="F8" t="s">
        <v>201</v>
      </c>
      <c r="G8" t="s">
        <v>202</v>
      </c>
    </row>
    <row r="9" spans="1:7" x14ac:dyDescent="0.25">
      <c r="E9" t="s">
        <v>203</v>
      </c>
      <c r="F9">
        <v>1007</v>
      </c>
      <c r="G9">
        <v>538</v>
      </c>
    </row>
    <row r="10" spans="1:7" x14ac:dyDescent="0.25">
      <c r="A10" s="63" t="s">
        <v>182</v>
      </c>
      <c r="B10" t="s">
        <v>200</v>
      </c>
      <c r="E10" t="s">
        <v>204</v>
      </c>
      <c r="F10">
        <v>776</v>
      </c>
      <c r="G10">
        <v>420</v>
      </c>
    </row>
    <row r="11" spans="1:7" x14ac:dyDescent="0.25">
      <c r="A11" s="63" t="s">
        <v>183</v>
      </c>
      <c r="B11" t="s">
        <v>200</v>
      </c>
    </row>
    <row r="12" spans="1:7" x14ac:dyDescent="0.25">
      <c r="A12" s="63" t="s">
        <v>184</v>
      </c>
      <c r="B12" t="s">
        <v>200</v>
      </c>
    </row>
    <row r="13" spans="1:7" x14ac:dyDescent="0.25">
      <c r="A13" s="63" t="s">
        <v>185</v>
      </c>
      <c r="B13" t="s">
        <v>200</v>
      </c>
      <c r="D13" t="s">
        <v>205</v>
      </c>
      <c r="E13" t="str">
        <f>IFERROR(VLOOKUP(Income!F26,GreaterLDN, 2, FALSE),"NO")</f>
        <v>NO</v>
      </c>
      <c r="F13" t="s">
        <v>206</v>
      </c>
      <c r="G13">
        <f>IF(E13="YES",F9,G9)</f>
        <v>538</v>
      </c>
    </row>
    <row r="14" spans="1:7" x14ac:dyDescent="0.25">
      <c r="A14" s="63" t="s">
        <v>186</v>
      </c>
      <c r="B14" t="s">
        <v>200</v>
      </c>
      <c r="D14" t="s">
        <v>207</v>
      </c>
      <c r="E14" t="str">
        <f>IF(OR('Income Calculator'!B15&gt;0,'Income Calculator'!E15&gt;0,'Income Calculator'!G15&gt;0,'Income Calculator'!I15&gt;0),"YES","NO")</f>
        <v>NO</v>
      </c>
      <c r="F14" t="s">
        <v>206</v>
      </c>
      <c r="G14">
        <f>IF(AND(E13="YES",E14="YES"),F9,F10)</f>
        <v>776</v>
      </c>
    </row>
    <row r="15" spans="1:7" x14ac:dyDescent="0.25">
      <c r="A15" s="63" t="s">
        <v>187</v>
      </c>
      <c r="B15" t="s">
        <v>200</v>
      </c>
    </row>
    <row r="16" spans="1:7" x14ac:dyDescent="0.25">
      <c r="A16" s="63" t="s">
        <v>188</v>
      </c>
      <c r="B16" t="s">
        <v>200</v>
      </c>
    </row>
    <row r="17" spans="1:2" x14ac:dyDescent="0.25">
      <c r="A17" s="63" t="s">
        <v>189</v>
      </c>
      <c r="B17" t="s">
        <v>200</v>
      </c>
    </row>
    <row r="18" spans="1:2" x14ac:dyDescent="0.25">
      <c r="A18" s="63" t="s">
        <v>18</v>
      </c>
      <c r="B18" t="s">
        <v>200</v>
      </c>
    </row>
    <row r="19" spans="1:2" x14ac:dyDescent="0.25">
      <c r="A19" s="63" t="s">
        <v>190</v>
      </c>
      <c r="B19" t="s">
        <v>200</v>
      </c>
    </row>
    <row r="20" spans="1:2" x14ac:dyDescent="0.25">
      <c r="A20" s="63" t="s">
        <v>181</v>
      </c>
      <c r="B20" t="s">
        <v>200</v>
      </c>
    </row>
    <row r="21" spans="1:2" x14ac:dyDescent="0.25">
      <c r="A21" s="63" t="s">
        <v>191</v>
      </c>
      <c r="B21" t="s">
        <v>200</v>
      </c>
    </row>
    <row r="22" spans="1:2" x14ac:dyDescent="0.25">
      <c r="A22" s="63" t="s">
        <v>192</v>
      </c>
      <c r="B22" t="s">
        <v>200</v>
      </c>
    </row>
    <row r="23" spans="1:2" x14ac:dyDescent="0.25">
      <c r="A23" s="63" t="s">
        <v>193</v>
      </c>
      <c r="B23" t="s">
        <v>200</v>
      </c>
    </row>
    <row r="24" spans="1:2" x14ac:dyDescent="0.25">
      <c r="A24" s="63" t="s">
        <v>194</v>
      </c>
      <c r="B24" t="s">
        <v>200</v>
      </c>
    </row>
    <row r="25" spans="1:2" x14ac:dyDescent="0.25">
      <c r="A25" s="63" t="s">
        <v>195</v>
      </c>
      <c r="B25" t="s">
        <v>200</v>
      </c>
    </row>
    <row r="26" spans="1:2" x14ac:dyDescent="0.25">
      <c r="A26" s="63" t="s">
        <v>196</v>
      </c>
      <c r="B26" t="s">
        <v>200</v>
      </c>
    </row>
    <row r="27" spans="1:2" x14ac:dyDescent="0.25">
      <c r="A27" s="63" t="s">
        <v>197</v>
      </c>
      <c r="B27" t="s">
        <v>200</v>
      </c>
    </row>
    <row r="28" spans="1:2" x14ac:dyDescent="0.25">
      <c r="A28" s="63" t="s">
        <v>198</v>
      </c>
      <c r="B28" t="s">
        <v>200</v>
      </c>
    </row>
    <row r="29" spans="1:2" x14ac:dyDescent="0.25">
      <c r="A29" s="63" t="s">
        <v>199</v>
      </c>
      <c r="B29" t="s">
        <v>200</v>
      </c>
    </row>
  </sheetData>
  <sheetProtection algorithmName="SHA-512" hashValue="bEb5Qd9zuN9fRsJvH1Y98qbX73iHz7mkTPWXyBaQJ1VDOW29ib8q6sCM95V7oXTyfXEcYMkkOfEzSvB67dbHMw==" saltValue="wNCugf0TPfxq5QNnBnMWUQ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B3"/>
  <sheetViews>
    <sheetView workbookViewId="0">
      <selection activeCell="A2" sqref="A2"/>
    </sheetView>
  </sheetViews>
  <sheetFormatPr defaultRowHeight="15" x14ac:dyDescent="0.25"/>
  <cols>
    <col min="1" max="1" width="12.42578125" bestFit="1" customWidth="1"/>
  </cols>
  <sheetData>
    <row r="1" spans="1:2" x14ac:dyDescent="0.25">
      <c r="A1" t="s">
        <v>134</v>
      </c>
      <c r="B1" t="s">
        <v>137</v>
      </c>
    </row>
    <row r="2" spans="1:2" x14ac:dyDescent="0.25">
      <c r="A2" t="s">
        <v>135</v>
      </c>
      <c r="B2">
        <v>4.75</v>
      </c>
    </row>
    <row r="3" spans="1:2" x14ac:dyDescent="0.25">
      <c r="A3" t="s">
        <v>136</v>
      </c>
      <c r="B3">
        <v>4.5</v>
      </c>
    </row>
  </sheetData>
  <sheetProtection password="F29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34"/>
  <sheetViews>
    <sheetView zoomScale="90" zoomScaleNormal="90" workbookViewId="0">
      <selection activeCell="F18" sqref="F18"/>
    </sheetView>
  </sheetViews>
  <sheetFormatPr defaultRowHeight="15" x14ac:dyDescent="0.25"/>
  <cols>
    <col min="2" max="2" width="12.5703125" customWidth="1"/>
    <col min="3" max="3" width="8.140625" customWidth="1"/>
    <col min="5" max="5" width="37.5703125" customWidth="1"/>
    <col min="6" max="6" width="11.140625" customWidth="1"/>
    <col min="7" max="8" width="10.85546875" bestFit="1" customWidth="1"/>
    <col min="9" max="9" width="10.5703125" customWidth="1"/>
    <col min="12" max="12" width="0" hidden="1" customWidth="1"/>
    <col min="13" max="13" width="10.42578125" hidden="1" customWidth="1"/>
    <col min="14" max="14" width="0" hidden="1" customWidth="1"/>
    <col min="15" max="15" width="10" hidden="1" customWidth="1"/>
  </cols>
  <sheetData>
    <row r="1" spans="1:15" ht="16.5" thickBot="1" x14ac:dyDescent="0.3">
      <c r="A1" s="97" t="s">
        <v>112</v>
      </c>
      <c r="B1" s="141">
        <f ca="1">TODAY()</f>
        <v>46106</v>
      </c>
      <c r="C1" s="142"/>
    </row>
    <row r="2" spans="1:15" ht="15.75" x14ac:dyDescent="0.25">
      <c r="A2" s="147" t="s">
        <v>224</v>
      </c>
      <c r="B2" s="147"/>
      <c r="C2" s="147"/>
      <c r="D2" s="147"/>
      <c r="E2" s="147"/>
    </row>
    <row r="3" spans="1:15" ht="15.75" x14ac:dyDescent="0.25">
      <c r="A3" s="152" t="s">
        <v>222</v>
      </c>
      <c r="B3" s="152"/>
      <c r="C3" s="152"/>
      <c r="D3" s="152"/>
      <c r="E3" s="1"/>
    </row>
    <row r="4" spans="1:15" ht="15.75" thickBot="1" x14ac:dyDescent="0.3"/>
    <row r="5" spans="1:15" ht="19.5" thickBot="1" x14ac:dyDescent="0.35">
      <c r="A5" s="98" t="s">
        <v>42</v>
      </c>
      <c r="F5" s="149" t="s">
        <v>72</v>
      </c>
      <c r="G5" s="150"/>
      <c r="H5" s="150"/>
      <c r="I5" s="151"/>
      <c r="L5" s="149" t="s">
        <v>32</v>
      </c>
      <c r="M5" s="150"/>
      <c r="N5" s="151"/>
    </row>
    <row r="6" spans="1:15" x14ac:dyDescent="0.25">
      <c r="E6" s="108"/>
      <c r="F6" s="41"/>
      <c r="G6" s="108"/>
      <c r="H6" s="108"/>
      <c r="I6" s="41"/>
      <c r="J6" s="5"/>
    </row>
    <row r="7" spans="1:15" x14ac:dyDescent="0.25">
      <c r="A7" s="57" t="s">
        <v>33</v>
      </c>
      <c r="F7" s="99" t="s">
        <v>0</v>
      </c>
      <c r="G7" s="99" t="s">
        <v>1</v>
      </c>
      <c r="H7" s="99" t="s">
        <v>216</v>
      </c>
      <c r="I7" s="99" t="s">
        <v>217</v>
      </c>
    </row>
    <row r="8" spans="1:15" ht="17.25" x14ac:dyDescent="0.3">
      <c r="A8" s="111" t="s">
        <v>71</v>
      </c>
      <c r="B8" s="112"/>
      <c r="E8" s="113"/>
      <c r="F8" s="16"/>
      <c r="G8" s="16"/>
      <c r="H8" s="16"/>
      <c r="I8" s="16"/>
      <c r="J8" s="29" t="s">
        <v>113</v>
      </c>
      <c r="M8" s="7">
        <f>SUM(F8+G8+H8+I8)</f>
        <v>0</v>
      </c>
    </row>
    <row r="9" spans="1:15" ht="17.25" x14ac:dyDescent="0.3">
      <c r="A9" s="111" t="s">
        <v>40</v>
      </c>
      <c r="B9" s="112"/>
      <c r="D9" s="115"/>
      <c r="E9" s="113"/>
      <c r="F9" s="16"/>
      <c r="G9" s="16"/>
      <c r="H9" s="16"/>
      <c r="I9" s="16"/>
      <c r="J9" s="15"/>
      <c r="M9" s="7">
        <f t="shared" ref="M9:M14" si="0">SUM(F9+G9+H9+I9)</f>
        <v>0</v>
      </c>
    </row>
    <row r="10" spans="1:15" ht="17.25" x14ac:dyDescent="0.3">
      <c r="A10" s="111" t="s">
        <v>41</v>
      </c>
      <c r="B10" s="112"/>
      <c r="D10" s="115"/>
      <c r="E10" s="113"/>
      <c r="F10" s="16"/>
      <c r="G10" s="16"/>
      <c r="H10" s="16"/>
      <c r="I10" s="16"/>
      <c r="J10" s="15"/>
      <c r="M10" s="7">
        <f t="shared" si="0"/>
        <v>0</v>
      </c>
    </row>
    <row r="11" spans="1:15" ht="17.25" x14ac:dyDescent="0.3">
      <c r="A11" s="111" t="s">
        <v>75</v>
      </c>
      <c r="B11" s="112"/>
      <c r="D11" s="115"/>
      <c r="E11" s="113"/>
      <c r="F11" s="16"/>
      <c r="G11" s="16"/>
      <c r="H11" s="16"/>
      <c r="I11" s="16"/>
      <c r="J11" s="15"/>
      <c r="M11" s="7">
        <f t="shared" si="0"/>
        <v>0</v>
      </c>
    </row>
    <row r="12" spans="1:15" ht="17.25" x14ac:dyDescent="0.3">
      <c r="A12" s="111" t="s">
        <v>116</v>
      </c>
      <c r="B12" s="112"/>
      <c r="D12" s="115"/>
      <c r="E12" s="113"/>
      <c r="F12" s="16"/>
      <c r="G12" s="16"/>
      <c r="H12" s="16"/>
      <c r="I12" s="16"/>
      <c r="J12" s="15"/>
      <c r="M12" s="7">
        <f t="shared" si="0"/>
        <v>0</v>
      </c>
    </row>
    <row r="13" spans="1:15" ht="18" thickBot="1" x14ac:dyDescent="0.35">
      <c r="A13" s="111" t="s">
        <v>76</v>
      </c>
      <c r="B13" s="112"/>
      <c r="D13" s="115"/>
      <c r="E13" s="113"/>
      <c r="F13" s="20"/>
      <c r="G13" s="20"/>
      <c r="H13" s="20"/>
      <c r="I13" s="20"/>
      <c r="J13" s="15"/>
      <c r="M13" s="21">
        <f t="shared" si="0"/>
        <v>0</v>
      </c>
    </row>
    <row r="14" spans="1:15" ht="18" thickBot="1" x14ac:dyDescent="0.35">
      <c r="A14" s="116" t="s">
        <v>34</v>
      </c>
      <c r="B14" s="112"/>
      <c r="D14" s="115"/>
      <c r="E14" s="113"/>
      <c r="F14" s="18">
        <f>SUM(F8:F13)</f>
        <v>0</v>
      </c>
      <c r="G14" s="18">
        <f>SUM(G8:G13)</f>
        <v>0</v>
      </c>
      <c r="H14" s="18">
        <f>SUM(H8:H13)</f>
        <v>0</v>
      </c>
      <c r="I14" s="18">
        <f>SUM(I8:I13)</f>
        <v>0</v>
      </c>
      <c r="J14" s="15"/>
      <c r="M14" s="18">
        <f t="shared" si="0"/>
        <v>0</v>
      </c>
    </row>
    <row r="15" spans="1:15" ht="18" thickBot="1" x14ac:dyDescent="0.35">
      <c r="A15" s="116"/>
      <c r="B15" s="112"/>
      <c r="D15" s="115"/>
      <c r="E15" s="113"/>
      <c r="F15" s="30"/>
      <c r="G15" s="114"/>
      <c r="H15" s="114"/>
      <c r="I15" s="30"/>
      <c r="J15" s="15"/>
      <c r="M15" s="30"/>
    </row>
    <row r="16" spans="1:15" ht="15.75" customHeight="1" thickBot="1" x14ac:dyDescent="0.3">
      <c r="E16" s="113"/>
      <c r="F16" s="149" t="s">
        <v>31</v>
      </c>
      <c r="G16" s="150"/>
      <c r="H16" s="150"/>
      <c r="I16" s="151"/>
      <c r="J16" s="6"/>
      <c r="L16" s="149" t="s">
        <v>32</v>
      </c>
      <c r="M16" s="150"/>
      <c r="N16" s="151"/>
      <c r="O16" s="31" t="s">
        <v>73</v>
      </c>
    </row>
    <row r="17" spans="1:15" x14ac:dyDescent="0.25">
      <c r="A17" s="57" t="s">
        <v>35</v>
      </c>
      <c r="E17" s="113"/>
      <c r="F17" s="113"/>
      <c r="G17" s="113"/>
      <c r="H17" s="117"/>
      <c r="I17" s="113"/>
      <c r="J17" s="6"/>
    </row>
    <row r="18" spans="1:15" x14ac:dyDescent="0.25">
      <c r="A18" s="111" t="s">
        <v>129</v>
      </c>
      <c r="E18" s="113"/>
      <c r="F18" s="9"/>
      <c r="G18" s="113"/>
      <c r="H18" s="117"/>
      <c r="I18" s="113"/>
      <c r="J18" s="6"/>
      <c r="M18" s="17">
        <f>IF($F18&gt;=$O18,$F18,IF(AND($O18&gt;=$F18,$E$3="Remortgage",$F18&gt;0),$F18,$O18))</f>
        <v>420</v>
      </c>
      <c r="O18" s="11">
        <f>IF(AND('ONS Data BTL'!E13="YES",'ONS Data BTL'!E14="YES"),'ONS Data BTL'!F9,IF(AND('ONS Data BTL'!E13="YES",'ONS Data BTL'!E14="NO"),'ONS Data BTL'!F10,IF(AND('ONS Data BTL'!E13="NO",'ONS Data BTL'!E14="YES"),'ONS Data BTL'!G9,'ONS Data BTL'!G10)))</f>
        <v>420</v>
      </c>
    </row>
    <row r="19" spans="1:15" x14ac:dyDescent="0.25">
      <c r="A19" s="148" t="s">
        <v>154</v>
      </c>
      <c r="B19" s="148"/>
      <c r="C19" s="148"/>
      <c r="D19" s="148"/>
      <c r="E19" s="113"/>
      <c r="F19" s="79" t="e">
        <f>IF(Results!H27="Use Income",Results!H30-Results!H21,0)</f>
        <v>#DIV/0!</v>
      </c>
      <c r="G19" s="113"/>
      <c r="H19" s="117"/>
      <c r="I19" s="113"/>
      <c r="J19" s="6"/>
      <c r="M19" s="17" t="e">
        <f>IF(F19&gt;=O19,F19,O19)</f>
        <v>#DIV/0!</v>
      </c>
      <c r="O19" s="77"/>
    </row>
    <row r="20" spans="1:15" ht="17.25" x14ac:dyDescent="0.3">
      <c r="A20" s="111" t="s">
        <v>143</v>
      </c>
      <c r="B20" s="112"/>
      <c r="D20" s="115"/>
      <c r="E20" s="113"/>
      <c r="F20" s="9"/>
      <c r="G20" s="114"/>
      <c r="H20" s="114"/>
      <c r="J20" s="15"/>
      <c r="M20" s="17">
        <f>IF($F20&gt;=$O20,$F20,IF(AND($O20&gt;=$F20,$E$3="Remortgage",$F20&gt;0),$F20,$O20))</f>
        <v>504.40000000000003</v>
      </c>
      <c r="O20" s="11">
        <f>VLOOKUP(Income!F20,'ONS Data'!A:I,4,FALSE)</f>
        <v>504.40000000000003</v>
      </c>
    </row>
    <row r="21" spans="1:15" ht="17.25" x14ac:dyDescent="0.3">
      <c r="A21" s="111" t="s">
        <v>36</v>
      </c>
      <c r="B21" s="112"/>
      <c r="D21" s="115"/>
      <c r="E21" s="113"/>
      <c r="F21" s="16"/>
      <c r="G21" s="114"/>
      <c r="H21" s="114"/>
      <c r="J21" s="15"/>
      <c r="M21" s="17">
        <f>SUM(F21)</f>
        <v>0</v>
      </c>
      <c r="O21" s="8"/>
    </row>
    <row r="22" spans="1:15" ht="18" thickBot="1" x14ac:dyDescent="0.35">
      <c r="A22" s="111" t="s">
        <v>37</v>
      </c>
      <c r="B22" s="112"/>
      <c r="D22" s="115"/>
      <c r="E22" s="113"/>
      <c r="F22" s="20"/>
      <c r="G22" s="114"/>
      <c r="H22" s="114"/>
      <c r="J22" s="15"/>
      <c r="M22" s="26">
        <f>SUM(F22)</f>
        <v>0</v>
      </c>
    </row>
    <row r="23" spans="1:15" ht="18" thickBot="1" x14ac:dyDescent="0.35">
      <c r="A23" s="116" t="s">
        <v>34</v>
      </c>
      <c r="B23" s="112"/>
      <c r="D23" s="115"/>
      <c r="E23" s="113"/>
      <c r="F23" s="18" t="e">
        <f>SUM(F18:F22)</f>
        <v>#DIV/0!</v>
      </c>
      <c r="G23" s="114"/>
      <c r="H23" s="114"/>
      <c r="J23" s="15"/>
      <c r="M23" s="18" t="e">
        <f>SUM(M18:M22)</f>
        <v>#DIV/0!</v>
      </c>
      <c r="O23" s="14"/>
    </row>
    <row r="24" spans="1:15" x14ac:dyDescent="0.25">
      <c r="E24" s="113"/>
      <c r="F24" s="113"/>
      <c r="G24" s="113"/>
      <c r="H24" s="117"/>
      <c r="J24" s="6"/>
    </row>
    <row r="25" spans="1:15" x14ac:dyDescent="0.25">
      <c r="A25" s="57" t="s">
        <v>38</v>
      </c>
      <c r="E25" s="113"/>
      <c r="F25" s="113"/>
      <c r="G25" s="113"/>
      <c r="H25" s="117"/>
      <c r="J25" s="6"/>
    </row>
    <row r="26" spans="1:15" ht="17.25" x14ac:dyDescent="0.3">
      <c r="A26" s="111" t="s">
        <v>144</v>
      </c>
      <c r="B26" s="112"/>
      <c r="E26" s="113"/>
      <c r="F26" s="9"/>
      <c r="G26" s="113"/>
      <c r="H26" s="113"/>
      <c r="J26" s="6"/>
      <c r="M26" s="17">
        <f>IF($F26&gt;=$O26,$F26,IF(AND($O26&gt;=$F26,$E$3="Remortgage",$F26&gt;0),$F26,$O26))</f>
        <v>169.43333333333334</v>
      </c>
      <c r="O26" s="10">
        <f>VLOOKUP(Income!F20,'ONS Data'!A:I,7,FALSE)</f>
        <v>169.43333333333334</v>
      </c>
    </row>
    <row r="27" spans="1:15" ht="17.25" x14ac:dyDescent="0.3">
      <c r="A27" s="111" t="s">
        <v>145</v>
      </c>
      <c r="B27" s="112"/>
      <c r="D27" s="115"/>
      <c r="E27" s="113"/>
      <c r="F27" s="9"/>
      <c r="G27" s="113"/>
      <c r="H27" s="113"/>
      <c r="J27" s="6"/>
      <c r="M27" s="17">
        <f>IF($F27&gt;=$O27,$F27,IF(AND($O27&gt;=$F27,$E$3="Remortgage",$F27&gt;0),$F27,$O27))</f>
        <v>39.866666666666667</v>
      </c>
      <c r="O27" s="12">
        <f>VLOOKUP(Income!F20,'ONS Data'!A:I,9,FALSE)</f>
        <v>39.866666666666667</v>
      </c>
    </row>
    <row r="28" spans="1:15" ht="17.25" x14ac:dyDescent="0.3">
      <c r="A28" s="111" t="s">
        <v>146</v>
      </c>
      <c r="B28" s="112"/>
      <c r="D28" s="115"/>
      <c r="E28" s="113"/>
      <c r="F28" s="9"/>
      <c r="G28" s="113"/>
      <c r="H28" s="113"/>
      <c r="J28" s="6"/>
      <c r="M28" s="17">
        <f>SUM(F28)</f>
        <v>0</v>
      </c>
      <c r="O28" s="11"/>
    </row>
    <row r="29" spans="1:15" ht="17.25" x14ac:dyDescent="0.3">
      <c r="A29" s="111" t="s">
        <v>147</v>
      </c>
      <c r="B29" s="112"/>
      <c r="D29" s="115"/>
      <c r="E29" s="113"/>
      <c r="F29" s="9"/>
      <c r="G29" s="113"/>
      <c r="H29" s="113"/>
      <c r="J29" s="6"/>
      <c r="M29" s="17">
        <f>IF($F29&gt;=$O29,$F29,IF(AND($O29&gt;=$F29,$E$3="Remortgage",$F29&gt;0),$F29,$O29))</f>
        <v>17.333333333333332</v>
      </c>
      <c r="O29" s="11">
        <f>VLOOKUP(Income!F20,'ONS Data'!A:I,6,FALSE)</f>
        <v>17.333333333333332</v>
      </c>
    </row>
    <row r="30" spans="1:15" ht="18" thickBot="1" x14ac:dyDescent="0.35">
      <c r="A30" s="111" t="s">
        <v>43</v>
      </c>
      <c r="B30" s="112"/>
      <c r="D30" s="115"/>
      <c r="E30" s="113"/>
      <c r="F30" s="19"/>
      <c r="G30" s="113"/>
      <c r="H30" s="113"/>
      <c r="J30" s="6"/>
      <c r="M30" s="26">
        <f>SUM(F30)</f>
        <v>0</v>
      </c>
      <c r="O30" s="13"/>
    </row>
    <row r="31" spans="1:15" ht="18" thickBot="1" x14ac:dyDescent="0.35">
      <c r="A31" s="116" t="s">
        <v>34</v>
      </c>
      <c r="B31" s="112"/>
      <c r="D31" s="115"/>
      <c r="E31" s="113"/>
      <c r="F31" s="18">
        <f>SUM(F26:F30)</f>
        <v>0</v>
      </c>
      <c r="G31" s="113"/>
      <c r="H31" s="113"/>
      <c r="J31" s="6"/>
      <c r="M31" s="18">
        <f>SUM(M26:M30)</f>
        <v>226.63333333333335</v>
      </c>
      <c r="O31" s="14"/>
    </row>
    <row r="33" spans="1:13" ht="15.75" thickBot="1" x14ac:dyDescent="0.3"/>
    <row r="34" spans="1:13" ht="16.5" thickBot="1" x14ac:dyDescent="0.3">
      <c r="A34" s="118" t="s">
        <v>39</v>
      </c>
      <c r="F34" s="22" t="e">
        <f>SUM(F14+G14+H14+I14+F23+F31)</f>
        <v>#DIV/0!</v>
      </c>
      <c r="M34" s="22" t="e">
        <f>SUM(M14+M23+M31)</f>
        <v>#DIV/0!</v>
      </c>
    </row>
  </sheetData>
  <sheetProtection algorithmName="SHA-512" hashValue="1LbyDrCrB57sytlXcBWEoKLgpxQkhuSVe30e4ETbCI6cf6zm5YhJlKQOxq4NgTFhSom18l8dbbGrZwfVbO1B7w==" saltValue="hK1/+vjggz4PvvcW6KBdSQ==" spinCount="100000" sheet="1" selectLockedCells="1"/>
  <mergeCells count="8">
    <mergeCell ref="A19:D19"/>
    <mergeCell ref="B1:C1"/>
    <mergeCell ref="F5:I5"/>
    <mergeCell ref="L5:N5"/>
    <mergeCell ref="F16:I16"/>
    <mergeCell ref="L16:N16"/>
    <mergeCell ref="A3:D3"/>
    <mergeCell ref="A2:E2"/>
  </mergeCells>
  <conditionalFormatting sqref="E3">
    <cfRule type="cellIs" dxfId="21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C9534B-38A3-4225-9EC0-E840858F5586}">
          <x14:formula1>
            <xm:f>Lists2!$A$1:$A$2</xm:f>
          </x14:formula1>
          <xm:sqref>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Q52"/>
  <sheetViews>
    <sheetView tabSelected="1" zoomScale="90" zoomScaleNormal="90" workbookViewId="0">
      <selection activeCell="D3" sqref="D3:H3"/>
    </sheetView>
  </sheetViews>
  <sheetFormatPr defaultRowHeight="15" x14ac:dyDescent="0.25"/>
  <cols>
    <col min="2" max="2" width="7.5703125" customWidth="1"/>
    <col min="3" max="3" width="13.5703125" customWidth="1"/>
    <col min="6" max="6" width="9.5703125" customWidth="1"/>
    <col min="8" max="8" width="26.85546875" customWidth="1"/>
    <col min="9" max="9" width="8.85546875" hidden="1" customWidth="1"/>
    <col min="10" max="10" width="10.42578125" style="50" hidden="1" customWidth="1"/>
    <col min="11" max="11" width="13.140625" hidden="1" customWidth="1"/>
    <col min="12" max="16" width="8.85546875" hidden="1" customWidth="1"/>
    <col min="17" max="17" width="15.140625" hidden="1" customWidth="1"/>
    <col min="18" max="18" width="8.85546875" customWidth="1"/>
  </cols>
  <sheetData>
    <row r="1" spans="1:13" ht="16.5" thickBot="1" x14ac:dyDescent="0.3">
      <c r="A1" s="97" t="s">
        <v>112</v>
      </c>
      <c r="B1" s="141">
        <f ca="1">TODAY()</f>
        <v>46106</v>
      </c>
      <c r="C1" s="142"/>
    </row>
    <row r="2" spans="1:13" ht="16.5" thickBot="1" x14ac:dyDescent="0.3">
      <c r="A2" s="147" t="s">
        <v>224</v>
      </c>
      <c r="B2" s="147"/>
      <c r="C2" s="147"/>
      <c r="D2" s="147"/>
      <c r="E2" s="147"/>
    </row>
    <row r="3" spans="1:13" ht="20.25" thickTop="1" thickBot="1" x14ac:dyDescent="0.35">
      <c r="A3" s="98" t="s">
        <v>50</v>
      </c>
      <c r="D3" s="158" t="s">
        <v>234</v>
      </c>
      <c r="E3" s="159"/>
      <c r="F3" s="159"/>
      <c r="G3" s="159"/>
      <c r="H3" s="160"/>
    </row>
    <row r="4" spans="1:13" ht="19.5" thickTop="1" x14ac:dyDescent="0.3">
      <c r="A4" s="98"/>
      <c r="D4" s="29"/>
      <c r="E4" s="29"/>
      <c r="F4" s="29"/>
    </row>
    <row r="5" spans="1:13" ht="16.5" thickBot="1" x14ac:dyDescent="0.3">
      <c r="A5" s="119" t="s">
        <v>23</v>
      </c>
      <c r="C5" s="29"/>
      <c r="D5" s="41"/>
      <c r="E5" s="41"/>
      <c r="F5" s="41"/>
      <c r="G5" s="41"/>
    </row>
    <row r="6" spans="1:13" x14ac:dyDescent="0.25">
      <c r="A6" s="120" t="s">
        <v>24</v>
      </c>
      <c r="B6" s="121"/>
      <c r="C6" s="41"/>
      <c r="D6" s="41"/>
      <c r="E6" s="41"/>
      <c r="F6" s="41"/>
      <c r="G6" s="41"/>
      <c r="H6" s="47"/>
      <c r="K6" s="122"/>
    </row>
    <row r="7" spans="1:13" x14ac:dyDescent="0.25">
      <c r="A7" s="120" t="s">
        <v>25</v>
      </c>
      <c r="B7" s="121"/>
      <c r="C7" s="41"/>
      <c r="D7" s="41"/>
      <c r="E7" s="41"/>
      <c r="F7" s="41"/>
      <c r="G7" s="41"/>
      <c r="H7" s="81">
        <f>VLOOKUP($D$3,Table_Query_from_DPR_DMART[],2,FALSE)</f>
        <v>8.59</v>
      </c>
      <c r="K7" s="122"/>
    </row>
    <row r="8" spans="1:13" x14ac:dyDescent="0.25">
      <c r="A8" s="120" t="s">
        <v>26</v>
      </c>
      <c r="B8" s="121"/>
      <c r="C8" s="41"/>
      <c r="D8" s="41"/>
      <c r="E8" s="41"/>
      <c r="F8" s="41"/>
      <c r="G8" s="41"/>
      <c r="H8" s="48"/>
    </row>
    <row r="9" spans="1:13" x14ac:dyDescent="0.25">
      <c r="A9" s="120" t="s">
        <v>125</v>
      </c>
      <c r="B9" s="121"/>
      <c r="C9" s="41"/>
      <c r="D9" s="41"/>
      <c r="E9" s="41"/>
      <c r="F9" s="41"/>
      <c r="G9" s="41"/>
      <c r="H9" s="81" t="str">
        <f>VLOOKUP($D$3,Table_Query_from_DPR_DMART[],6,FALSE)</f>
        <v>Fixed</v>
      </c>
      <c r="K9" s="51"/>
    </row>
    <row r="10" spans="1:13" x14ac:dyDescent="0.25">
      <c r="A10" s="120" t="s">
        <v>126</v>
      </c>
      <c r="B10" s="121"/>
      <c r="C10" s="41"/>
      <c r="D10" s="41"/>
      <c r="E10" s="41"/>
      <c r="F10" s="41"/>
      <c r="G10" s="41"/>
      <c r="H10" s="81" t="str">
        <f>VLOOKUP($D$3,Table_Query_from_DPR_DMART[],5,FALSE)</f>
        <v>2yr</v>
      </c>
      <c r="K10" s="123"/>
    </row>
    <row r="11" spans="1:13" x14ac:dyDescent="0.25">
      <c r="A11" s="120" t="s">
        <v>127</v>
      </c>
      <c r="B11" s="121"/>
      <c r="C11" s="41"/>
      <c r="D11" s="41"/>
      <c r="E11" s="41"/>
      <c r="F11" s="41"/>
      <c r="G11" s="41"/>
      <c r="H11" s="81" t="str">
        <f>IF(VLOOKUP($D$3,Table_Query_from_DPR_DMART[],5,FALSE)="5YR","Y","N")</f>
        <v>N</v>
      </c>
      <c r="K11" s="92"/>
    </row>
    <row r="12" spans="1:13" x14ac:dyDescent="0.25">
      <c r="A12" s="120" t="s">
        <v>128</v>
      </c>
      <c r="B12" s="121"/>
      <c r="C12" s="41"/>
      <c r="D12" s="41"/>
      <c r="E12" s="41"/>
      <c r="F12" s="41"/>
      <c r="G12" s="41"/>
      <c r="H12" s="81" t="str">
        <f>IF(VLOOKUP($D$3,Table_Query_from_DPR_DMART[],5,FALSE)="5YR",VLOOKUP($D$3,Table_Query_from_DPR_DMART[],3,FALSE),"-")</f>
        <v>-</v>
      </c>
      <c r="K12" s="92"/>
    </row>
    <row r="13" spans="1:13" x14ac:dyDescent="0.25">
      <c r="A13" s="120" t="s">
        <v>27</v>
      </c>
      <c r="B13" s="121"/>
      <c r="C13" s="41"/>
      <c r="D13" s="41"/>
      <c r="E13" s="41"/>
      <c r="F13" s="41"/>
      <c r="G13" s="41"/>
      <c r="H13" s="81">
        <f>VLOOKUP($D$3,Table_Query_from_DPR_DMART[],4,FALSE)</f>
        <v>8.25</v>
      </c>
    </row>
    <row r="14" spans="1:13" ht="30.75" customHeight="1" x14ac:dyDescent="0.25">
      <c r="A14" s="162" t="s">
        <v>211</v>
      </c>
      <c r="B14" s="162"/>
      <c r="C14" s="162"/>
      <c r="D14" s="162"/>
      <c r="E14" s="162"/>
      <c r="F14" s="162"/>
      <c r="G14" s="41"/>
      <c r="H14" s="48"/>
    </row>
    <row r="15" spans="1:13" x14ac:dyDescent="0.25">
      <c r="A15" s="120" t="s">
        <v>77</v>
      </c>
      <c r="B15" s="121"/>
      <c r="C15" s="41"/>
      <c r="D15" s="41"/>
      <c r="E15" s="41"/>
      <c r="F15" s="41"/>
      <c r="G15" s="41"/>
      <c r="H15" s="48"/>
    </row>
    <row r="16" spans="1:13" x14ac:dyDescent="0.25">
      <c r="A16" s="120" t="s">
        <v>229</v>
      </c>
      <c r="B16" s="121"/>
      <c r="C16" s="41"/>
      <c r="D16" s="41"/>
      <c r="E16" s="41"/>
      <c r="F16" s="41"/>
      <c r="G16" s="41"/>
      <c r="H16" s="138"/>
      <c r="M16" s="136"/>
    </row>
    <row r="17" spans="1:17" ht="15.75" thickBot="1" x14ac:dyDescent="0.3">
      <c r="A17" s="120" t="s">
        <v>230</v>
      </c>
      <c r="B17" s="121"/>
      <c r="C17" s="41"/>
      <c r="D17" s="41"/>
      <c r="E17" s="41"/>
      <c r="F17" s="41"/>
      <c r="G17" s="41"/>
      <c r="H17" s="49"/>
      <c r="M17" s="136"/>
    </row>
    <row r="18" spans="1:17" ht="15.75" thickBot="1" x14ac:dyDescent="0.3">
      <c r="A18" s="124"/>
      <c r="B18" s="41"/>
      <c r="C18" s="41"/>
      <c r="H18" s="125"/>
      <c r="I18" s="126"/>
    </row>
    <row r="19" spans="1:17" ht="15.75" thickBot="1" x14ac:dyDescent="0.3">
      <c r="H19" s="8" t="s">
        <v>138</v>
      </c>
      <c r="K19" s="54" t="s">
        <v>158</v>
      </c>
      <c r="M19" s="82">
        <f>IF('ONS Data BTL'!E14="NO",130%,140%)</f>
        <v>1.3</v>
      </c>
      <c r="P19" s="55"/>
    </row>
    <row r="20" spans="1:17" ht="15.75" thickBot="1" x14ac:dyDescent="0.3">
      <c r="H20" s="52"/>
      <c r="P20" s="56"/>
    </row>
    <row r="21" spans="1:17" ht="15.75" customHeight="1" thickBot="1" x14ac:dyDescent="0.3">
      <c r="D21" s="57" t="s">
        <v>115</v>
      </c>
      <c r="H21" s="83">
        <f>Income!F23</f>
        <v>0</v>
      </c>
      <c r="K21" s="161" t="s">
        <v>60</v>
      </c>
      <c r="L21" s="155" t="s">
        <v>159</v>
      </c>
      <c r="M21" s="155"/>
      <c r="N21" s="155"/>
      <c r="O21" s="155"/>
      <c r="P21" s="155"/>
      <c r="Q21" s="155"/>
    </row>
    <row r="22" spans="1:17" ht="15.75" thickBot="1" x14ac:dyDescent="0.3">
      <c r="D22" s="57"/>
      <c r="H22" s="53"/>
      <c r="J22" s="80"/>
      <c r="K22" s="161"/>
      <c r="L22" s="155"/>
      <c r="M22" s="155"/>
      <c r="N22" s="155"/>
      <c r="O22" s="155"/>
      <c r="P22" s="155"/>
      <c r="Q22" s="155"/>
    </row>
    <row r="23" spans="1:17" ht="15.75" thickBot="1" x14ac:dyDescent="0.3">
      <c r="A23" s="58"/>
      <c r="D23" s="57" t="s">
        <v>28</v>
      </c>
      <c r="E23" s="29"/>
      <c r="F23" s="29"/>
      <c r="H23" s="83" t="b">
        <f>IF(H15="C",PMT(H13/100/12,H8*12,(0-H6),0),IF(H15="I",H6*H13/100/12))</f>
        <v>0</v>
      </c>
      <c r="J23" s="91"/>
      <c r="K23" s="161"/>
      <c r="L23" s="155"/>
      <c r="M23" s="155"/>
      <c r="N23" s="155"/>
      <c r="O23" s="155"/>
      <c r="P23" s="155"/>
      <c r="Q23" s="155"/>
    </row>
    <row r="24" spans="1:17" ht="15.75" thickBot="1" x14ac:dyDescent="0.3">
      <c r="E24" s="29"/>
      <c r="F24" s="29"/>
      <c r="I24" s="57"/>
    </row>
    <row r="25" spans="1:17" ht="15.75" customHeight="1" thickBot="1" x14ac:dyDescent="0.3">
      <c r="D25" s="8" t="s">
        <v>157</v>
      </c>
      <c r="E25" s="29"/>
      <c r="F25" s="29"/>
      <c r="H25" s="84" t="e">
        <f>H21/(H6*H13/100/12)</f>
        <v>#DIV/0!</v>
      </c>
      <c r="I25" s="78"/>
      <c r="K25" s="161" t="s">
        <v>139</v>
      </c>
      <c r="L25" s="155" t="s">
        <v>160</v>
      </c>
      <c r="M25" s="155"/>
      <c r="N25" s="155"/>
      <c r="O25" s="155"/>
      <c r="P25" s="155"/>
      <c r="Q25" s="155"/>
    </row>
    <row r="26" spans="1:17" ht="15.75" thickBot="1" x14ac:dyDescent="0.3">
      <c r="E26" s="29"/>
      <c r="F26" s="29"/>
      <c r="I26" s="57"/>
      <c r="K26" s="161"/>
      <c r="L26" s="155"/>
      <c r="M26" s="155"/>
      <c r="N26" s="155"/>
      <c r="O26" s="155"/>
      <c r="P26" s="155"/>
      <c r="Q26" s="155"/>
    </row>
    <row r="27" spans="1:17" ht="15.75" thickBot="1" x14ac:dyDescent="0.3">
      <c r="D27" s="8" t="s">
        <v>161</v>
      </c>
      <c r="E27" s="29"/>
      <c r="F27" s="29"/>
      <c r="H27" s="85" t="e">
        <f>IF(AND(H25 &gt;=M19,H16="Y",H17="N"),"PASS - as Regulated BTL Use Income", IF(H25 &gt;=M19,"PASS","Use Income"))</f>
        <v>#DIV/0!</v>
      </c>
      <c r="I27" s="57"/>
      <c r="K27" s="161"/>
      <c r="L27" s="155"/>
      <c r="M27" s="155"/>
      <c r="N27" s="155"/>
      <c r="O27" s="155"/>
      <c r="P27" s="155"/>
      <c r="Q27" s="155"/>
    </row>
    <row r="28" spans="1:17" x14ac:dyDescent="0.25">
      <c r="E28" s="29"/>
      <c r="F28" s="29"/>
      <c r="I28" s="57"/>
    </row>
    <row r="29" spans="1:17" ht="15.75" thickBot="1" x14ac:dyDescent="0.3">
      <c r="E29" s="29"/>
      <c r="F29" s="29"/>
      <c r="I29" s="57"/>
    </row>
    <row r="30" spans="1:17" ht="15.75" thickBot="1" x14ac:dyDescent="0.3">
      <c r="D30" s="57" t="s">
        <v>155</v>
      </c>
      <c r="H30" s="83">
        <f>(H6*H13/100/12) *M19</f>
        <v>0</v>
      </c>
      <c r="I30" s="57"/>
    </row>
    <row r="31" spans="1:17" ht="15.75" thickBot="1" x14ac:dyDescent="0.3">
      <c r="D31" s="57"/>
      <c r="H31" s="53"/>
      <c r="I31" s="57"/>
    </row>
    <row r="32" spans="1:17" ht="15.75" thickBot="1" x14ac:dyDescent="0.3">
      <c r="D32" s="57" t="s">
        <v>156</v>
      </c>
      <c r="H32" s="83">
        <f>IF(((H21/M19)*12*100/H13)&gt;H6, H6,((H21/M19)*12*100/H13))</f>
        <v>0</v>
      </c>
      <c r="I32" s="57"/>
      <c r="K32" t="s">
        <v>218</v>
      </c>
    </row>
    <row r="33" spans="4:17" x14ac:dyDescent="0.25">
      <c r="E33" s="29"/>
      <c r="F33" s="29"/>
      <c r="I33" s="57"/>
    </row>
    <row r="34" spans="4:17" x14ac:dyDescent="0.25">
      <c r="E34" s="29"/>
      <c r="F34" s="29"/>
      <c r="I34" s="57"/>
    </row>
    <row r="35" spans="4:17" x14ac:dyDescent="0.25">
      <c r="E35" s="29"/>
      <c r="F35" s="29"/>
      <c r="H35" s="52" t="s">
        <v>49</v>
      </c>
      <c r="I35" s="57"/>
    </row>
    <row r="36" spans="4:17" ht="15.75" thickBot="1" x14ac:dyDescent="0.3">
      <c r="E36" s="29"/>
      <c r="F36" s="29"/>
      <c r="I36" s="57"/>
    </row>
    <row r="37" spans="4:17" ht="15.75" thickBot="1" x14ac:dyDescent="0.3">
      <c r="D37" s="57" t="s">
        <v>29</v>
      </c>
      <c r="E37" s="29"/>
      <c r="F37" s="29"/>
      <c r="H37" s="86" t="e">
        <f>IF(AND(H27="Pass",H16="N"),"Use I.C.R",SUM(H23/((Income!F14+Income!H14+Income!J14+Income!L14)-Expenditure!M14)))</f>
        <v>#DIV/0!</v>
      </c>
      <c r="K37" s="54" t="s">
        <v>47</v>
      </c>
      <c r="P37" s="55"/>
    </row>
    <row r="38" spans="4:17" ht="15.75" thickBot="1" x14ac:dyDescent="0.3">
      <c r="E38" s="29"/>
      <c r="F38" s="29"/>
      <c r="P38" s="56"/>
    </row>
    <row r="39" spans="4:17" ht="15.75" customHeight="1" thickBot="1" x14ac:dyDescent="0.3">
      <c r="D39" s="57" t="s">
        <v>47</v>
      </c>
      <c r="E39" s="29"/>
      <c r="F39" s="29"/>
      <c r="H39" s="85" t="e">
        <f>IF(AND(H27="Pass",H16="N"),"Use I.C.R",IF(H37&lt;=0%,"DECLINE",IF(H37&lt;=45.49999999%,"PASS",IF(H37&gt;55.49999999%,"DECLINE","REFER"))))</f>
        <v>#DIV/0!</v>
      </c>
      <c r="K39" s="128" t="s">
        <v>60</v>
      </c>
      <c r="L39" s="157" t="s">
        <v>61</v>
      </c>
      <c r="M39" s="157"/>
      <c r="N39" s="157"/>
      <c r="O39" s="157"/>
      <c r="P39" s="157"/>
      <c r="Q39" s="157"/>
    </row>
    <row r="40" spans="4:17" ht="15.75" customHeight="1" x14ac:dyDescent="0.25">
      <c r="D40" s="57"/>
      <c r="E40" s="29"/>
      <c r="F40" s="29"/>
      <c r="H40" s="51"/>
      <c r="K40" s="128" t="s">
        <v>62</v>
      </c>
      <c r="L40" s="157" t="s">
        <v>65</v>
      </c>
      <c r="M40" s="157"/>
      <c r="N40" s="157"/>
      <c r="O40" s="157"/>
      <c r="P40" s="157"/>
      <c r="Q40" s="157"/>
    </row>
    <row r="41" spans="4:17" ht="15.75" customHeight="1" x14ac:dyDescent="0.25">
      <c r="D41" s="54" t="s">
        <v>66</v>
      </c>
      <c r="H41" s="51"/>
      <c r="K41" s="128" t="s">
        <v>63</v>
      </c>
      <c r="L41" s="157" t="s">
        <v>64</v>
      </c>
      <c r="M41" s="157"/>
      <c r="N41" s="157"/>
      <c r="O41" s="157"/>
      <c r="P41" s="157"/>
      <c r="Q41" s="157"/>
    </row>
    <row r="42" spans="4:17" ht="15.75" thickBot="1" x14ac:dyDescent="0.3">
      <c r="D42" s="59" t="s">
        <v>67</v>
      </c>
      <c r="K42" s="129"/>
    </row>
    <row r="43" spans="4:17" ht="15.75" customHeight="1" thickBot="1" x14ac:dyDescent="0.3">
      <c r="D43" s="8" t="s">
        <v>74</v>
      </c>
      <c r="E43" s="29"/>
      <c r="F43" s="29"/>
      <c r="H43" s="87" t="e">
        <f>IF(AND(H27="Pass",H16="N"),"Use I.C.R",IF(Expenditure!M34&gt;Expenditure!F34,(Income!F14+Income!H14+Income!J14+Income!L14)-(Expenditure!M34+Results!H23),(Income!F14+Income!H14+Income!J14+Income!L14)-(Expenditure!F34+Results!H23)))</f>
        <v>#DIV/0!</v>
      </c>
      <c r="K43" s="156" t="s">
        <v>60</v>
      </c>
      <c r="L43" s="155" t="s">
        <v>68</v>
      </c>
      <c r="M43" s="155"/>
      <c r="N43" s="155"/>
      <c r="O43" s="155"/>
      <c r="P43" s="155"/>
      <c r="Q43" s="155"/>
    </row>
    <row r="44" spans="4:17" ht="24" customHeight="1" thickBot="1" x14ac:dyDescent="0.3">
      <c r="E44" s="29"/>
      <c r="F44" s="29"/>
      <c r="K44" s="156"/>
      <c r="L44" s="155"/>
      <c r="M44" s="155"/>
      <c r="N44" s="155"/>
      <c r="O44" s="155"/>
      <c r="P44" s="155"/>
      <c r="Q44" s="155"/>
    </row>
    <row r="45" spans="4:17" ht="15.75" customHeight="1" thickBot="1" x14ac:dyDescent="0.3">
      <c r="D45" s="60" t="s">
        <v>48</v>
      </c>
      <c r="E45" s="29"/>
      <c r="F45" s="29"/>
      <c r="H45" s="88" t="e">
        <f>IF(AND(H27="Pass",H16="N"),"Use I.C.R",IF(Calc!A1&lt;=0%,"DECLINE",IF(Calc!A1&gt;100%,"DECLINE","PASS")))</f>
        <v>#DIV/0!</v>
      </c>
      <c r="K45" s="129"/>
    </row>
    <row r="46" spans="4:17" ht="22.5" customHeight="1" thickBot="1" x14ac:dyDescent="0.3">
      <c r="E46" s="29"/>
      <c r="F46" s="29"/>
      <c r="J46" s="61"/>
      <c r="K46" s="156" t="s">
        <v>69</v>
      </c>
      <c r="L46" s="155" t="s">
        <v>70</v>
      </c>
      <c r="M46" s="155"/>
      <c r="N46" s="155"/>
      <c r="O46" s="155"/>
      <c r="P46" s="155"/>
      <c r="Q46" s="155"/>
    </row>
    <row r="47" spans="4:17" ht="15" customHeight="1" thickBot="1" x14ac:dyDescent="0.3">
      <c r="D47" s="62" t="s">
        <v>30</v>
      </c>
      <c r="E47" s="63"/>
      <c r="F47" s="63"/>
      <c r="G47" s="63"/>
      <c r="H47" s="89" t="e">
        <f>IF(AND(H27="Pass",H16="N"),"Use I.C.R",(SUM(H6)/((Income!F12+Income!H12+Income!J12+Income!L12))))</f>
        <v>#DIV/0!</v>
      </c>
      <c r="I47" s="52" t="str">
        <f>IF(Income!H12&gt;0,"Joint","Sole")</f>
        <v>Sole</v>
      </c>
      <c r="J47" s="90" t="str">
        <f>IF(AND(H16="N",I47="Sole"),'Income Multiplier'!B2, IF(AND(H16="N",I47="Joint"),'Income Multiplier'!B3, IF(AND(H16="Y", H14="Y"),'Income Multiplier'!B3, IF(AND(H16="Y", H14="N"),'Income Multiplier'!B3,"REFER"))))</f>
        <v>REFER</v>
      </c>
      <c r="K47" s="156"/>
      <c r="L47" s="155"/>
      <c r="M47" s="155"/>
      <c r="N47" s="155"/>
      <c r="O47" s="155"/>
      <c r="P47" s="155"/>
      <c r="Q47" s="155"/>
    </row>
    <row r="48" spans="4:17" ht="15" customHeight="1" thickBot="1" x14ac:dyDescent="0.3"/>
    <row r="49" spans="4:17" ht="15.75" thickBot="1" x14ac:dyDescent="0.3">
      <c r="D49" s="8" t="s">
        <v>208</v>
      </c>
      <c r="H49" s="85" t="e">
        <f>IF(AND(H27="Pass",H16="N"),"Use I.C.R",IF(AND(H47&lt;J47,H39="PASS"),"PASS",IF(AND(H47&lt;J47,H39="REFER"),"REFER",IF(AND(H47&lt;J47,H39="DECLINE"),"DECLINE",IF(AND(H47&gt;J47,H16="Y",H14="Y"),"DECLINE",IF(AND(H47&gt;J47,H16="Y",H14="N",H39="PASS"),"PASS",IF(AND(H47&gt;J47,H16="Y",H14="N",H39="REFER"),"REFER",IF(AND(H47&gt;J47,H16="Y",H14="N",H39="DECLINE"),"DECLINE",IF(AND(H47&gt;J47,H16="N"),"DECLINE","PASS")))))))))</f>
        <v>#DIV/0!</v>
      </c>
      <c r="K49" s="153" t="s">
        <v>208</v>
      </c>
      <c r="L49" s="153"/>
    </row>
    <row r="50" spans="4:17" ht="90.75" customHeight="1" x14ac:dyDescent="0.25">
      <c r="K50" s="127" t="s">
        <v>60</v>
      </c>
      <c r="L50" s="154" t="s">
        <v>219</v>
      </c>
      <c r="M50" s="154"/>
      <c r="N50" s="154"/>
      <c r="O50" s="154"/>
      <c r="P50" s="154"/>
      <c r="Q50" s="154"/>
    </row>
    <row r="51" spans="4:17" ht="46.5" customHeight="1" x14ac:dyDescent="0.25">
      <c r="K51" s="127" t="s">
        <v>62</v>
      </c>
      <c r="L51" s="154" t="s">
        <v>220</v>
      </c>
      <c r="M51" s="154"/>
      <c r="N51" s="154"/>
      <c r="O51" s="154"/>
      <c r="P51" s="154"/>
      <c r="Q51" s="154"/>
    </row>
    <row r="52" spans="4:17" ht="60.75" customHeight="1" x14ac:dyDescent="0.25">
      <c r="K52" s="127" t="s">
        <v>209</v>
      </c>
      <c r="L52" s="154" t="s">
        <v>221</v>
      </c>
      <c r="M52" s="154"/>
      <c r="N52" s="154"/>
      <c r="O52" s="154"/>
      <c r="P52" s="154"/>
      <c r="Q52" s="154"/>
    </row>
  </sheetData>
  <sheetProtection algorithmName="SHA-512" hashValue="RnuR8boTY+sW25fp5115Bh1DLEAOQU75vkHMyGe/7XHBqC0+k94Fmdapm/48Qtvdblyg9Fzag7hhfJmEiDoRng==" saltValue="mXdqNqtGGEc0sjZjGh00vQ==" spinCount="100000" sheet="1" objects="1" scenarios="1" selectLockedCells="1"/>
  <protectedRanges>
    <protectedRange sqref="H6:H13" name="Range5"/>
    <protectedRange sqref="H18" name="Range6"/>
    <protectedRange sqref="H14:H15" name="Range5_1"/>
    <protectedRange sqref="J23" name="Range5_2"/>
    <protectedRange sqref="M19" name="Range5_2_1"/>
  </protectedRanges>
  <sortState xmlns:xlrd2="http://schemas.microsoft.com/office/spreadsheetml/2017/richdata2" ref="H27">
    <sortCondition descending="1" ref="H27"/>
  </sortState>
  <mergeCells count="19">
    <mergeCell ref="B1:C1"/>
    <mergeCell ref="D3:H3"/>
    <mergeCell ref="K21:K23"/>
    <mergeCell ref="L21:Q23"/>
    <mergeCell ref="L39:Q39"/>
    <mergeCell ref="K25:K27"/>
    <mergeCell ref="A14:F14"/>
    <mergeCell ref="A2:E2"/>
    <mergeCell ref="K49:L49"/>
    <mergeCell ref="L50:Q50"/>
    <mergeCell ref="L51:Q51"/>
    <mergeCell ref="L52:Q52"/>
    <mergeCell ref="L25:Q27"/>
    <mergeCell ref="K46:K47"/>
    <mergeCell ref="L46:Q47"/>
    <mergeCell ref="L40:Q40"/>
    <mergeCell ref="L41:Q41"/>
    <mergeCell ref="K43:K44"/>
    <mergeCell ref="L43:Q44"/>
  </mergeCells>
  <conditionalFormatting sqref="H6">
    <cfRule type="cellIs" dxfId="20" priority="5" operator="lessThanOrEqual">
      <formula>0</formula>
    </cfRule>
  </conditionalFormatting>
  <conditionalFormatting sqref="H8">
    <cfRule type="cellIs" dxfId="19" priority="4" operator="lessThanOrEqual">
      <formula>0</formula>
    </cfRule>
  </conditionalFormatting>
  <conditionalFormatting sqref="H14:H17">
    <cfRule type="containsBlanks" dxfId="18" priority="1">
      <formula>LEN(TRIM(H14))=0</formula>
    </cfRule>
  </conditionalFormatting>
  <conditionalFormatting sqref="H27">
    <cfRule type="cellIs" dxfId="17" priority="11" operator="equal">
      <formula>"USE INCOME"</formula>
    </cfRule>
    <cfRule type="containsText" dxfId="16" priority="13" stopIfTrue="1" operator="containsText" text="PASS">
      <formula>NOT(ISERROR(SEARCH("PASS",H27)))</formula>
    </cfRule>
  </conditionalFormatting>
  <conditionalFormatting sqref="H37:H47">
    <cfRule type="cellIs" dxfId="15" priority="21" stopIfTrue="1" operator="equal">
      <formula>"Use I.C.R"</formula>
    </cfRule>
  </conditionalFormatting>
  <conditionalFormatting sqref="H39:H41">
    <cfRule type="cellIs" dxfId="14" priority="10" stopIfTrue="1" operator="equal">
      <formula>"REFER"</formula>
    </cfRule>
    <cfRule type="containsText" dxfId="13" priority="18" stopIfTrue="1" operator="containsText" text="DECLINE">
      <formula>NOT(ISERROR(SEARCH("DECLINE",H39)))</formula>
    </cfRule>
    <cfRule type="containsText" dxfId="12" priority="20" stopIfTrue="1" operator="containsText" text="PASS">
      <formula>NOT(ISERROR(SEARCH("PASS",H39)))</formula>
    </cfRule>
  </conditionalFormatting>
  <conditionalFormatting sqref="H45">
    <cfRule type="cellIs" dxfId="11" priority="16" operator="equal">
      <formula>"DECLINE"</formula>
    </cfRule>
    <cfRule type="cellIs" dxfId="10" priority="17" operator="equal">
      <formula>"PASS"</formula>
    </cfRule>
  </conditionalFormatting>
  <conditionalFormatting sqref="H49">
    <cfRule type="cellIs" dxfId="9" priority="6" stopIfTrue="1" operator="equal">
      <formula>"REFER"</formula>
    </cfRule>
    <cfRule type="containsText" dxfId="8" priority="7" stopIfTrue="1" operator="containsText" text="DECLINE">
      <formula>NOT(ISERROR(SEARCH("DECLINE",H49)))</formula>
    </cfRule>
    <cfRule type="containsText" dxfId="7" priority="8" stopIfTrue="1" operator="containsText" text="PASS">
      <formula>NOT(ISERROR(SEARCH("PASS",H49)))</formula>
    </cfRule>
    <cfRule type="cellIs" dxfId="6" priority="9" stopIfTrue="1" operator="equal">
      <formula>"Use I.C.R"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ignoredErrors>
    <ignoredError sqref="I4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Button 12">
              <controlPr defaultSize="0" print="0" autoFill="0" autoPict="0" macro="[0]!RefreshData">
                <anchor moveWithCells="1" sizeWithCells="1">
                  <from>
                    <xdr:col>8</xdr:col>
                    <xdr:colOff>600075</xdr:colOff>
                    <xdr:row>0</xdr:row>
                    <xdr:rowOff>190500</xdr:rowOff>
                  </from>
                  <to>
                    <xdr:col>12</xdr:col>
                    <xdr:colOff>28575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'BTL Product Data'!$A$2:$A$12</xm:f>
          </x14:formula1>
          <xm:sqref>D3:H3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27404-2CA0-4339-B217-895220FC2D67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223</v>
      </c>
    </row>
    <row r="2" spans="1:1" x14ac:dyDescent="0.25">
      <c r="A2" t="s">
        <v>131</v>
      </c>
    </row>
  </sheetData>
  <sheetProtection algorithmName="SHA-512" hashValue="1SbbPDC/21JQQR31UtNrHHg+B0nSmoUhUDjitcIrSO+cZDdvnZGIeqAbjGU2tenkl9avBomfbWMkc8VUEEe+xg==" saltValue="ClI1iMKw0qgdimpvojFEQ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F3"/>
  <sheetViews>
    <sheetView workbookViewId="0">
      <selection activeCell="F3" sqref="F3"/>
    </sheetView>
  </sheetViews>
  <sheetFormatPr defaultRowHeight="15" x14ac:dyDescent="0.25"/>
  <cols>
    <col min="6" max="6" width="11.5703125" bestFit="1" customWidth="1"/>
  </cols>
  <sheetData>
    <row r="1" spans="1:6" ht="15.75" thickBot="1" x14ac:dyDescent="0.3">
      <c r="A1" s="28" t="e">
        <f>SUM(Results!H23/Calc!F3)</f>
        <v>#DIV/0!</v>
      </c>
    </row>
    <row r="2" spans="1:6" ht="15.75" thickBot="1" x14ac:dyDescent="0.3">
      <c r="A2" s="2" t="s">
        <v>21</v>
      </c>
      <c r="B2" s="1"/>
      <c r="C2" s="1"/>
      <c r="D2" s="1"/>
      <c r="E2" s="1"/>
      <c r="F2" s="3" t="e">
        <f>IF(Expenditure!F34&gt;=Expenditure!M34,Expenditure!F34,Expenditure!M34)</f>
        <v>#DIV/0!</v>
      </c>
    </row>
    <row r="3" spans="1:6" ht="16.5" thickBot="1" x14ac:dyDescent="0.3">
      <c r="A3" s="2" t="s">
        <v>22</v>
      </c>
      <c r="B3" s="1"/>
      <c r="C3" s="1"/>
      <c r="D3" s="1"/>
      <c r="E3" s="1"/>
      <c r="F3" s="4" t="e">
        <f>SUM(Income!F14+Income!H14+Income!J14+Income!L14)-Calc!F2</f>
        <v>#DIV/0!</v>
      </c>
    </row>
  </sheetData>
  <sheetProtection algorithmName="SHA-512" hashValue="ITSaVSYNgKZqsQ4EpzQtOg9A+UXVGhGGJtyTcppO7WF9xrPMK6XEZUkQQ5OrcuSKQNXQ+TG4CLw6Nf4ofE5tUg==" saltValue="o9J8R5q7mRn3CKhzAmEnVw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E8E0A-DB23-48DA-8A06-7FF1A6D2A550}">
  <sheetPr codeName="Sheet7"/>
  <dimension ref="A1:B9"/>
  <sheetViews>
    <sheetView workbookViewId="0">
      <selection activeCell="B6" sqref="B6"/>
    </sheetView>
  </sheetViews>
  <sheetFormatPr defaultRowHeight="15" x14ac:dyDescent="0.25"/>
  <sheetData>
    <row r="1" spans="1:2" x14ac:dyDescent="0.25">
      <c r="A1" t="s">
        <v>14</v>
      </c>
      <c r="B1" t="s">
        <v>14</v>
      </c>
    </row>
    <row r="2" spans="1:2" x14ac:dyDescent="0.25">
      <c r="A2" t="s">
        <v>15</v>
      </c>
      <c r="B2" t="s">
        <v>15</v>
      </c>
    </row>
    <row r="3" spans="1:2" x14ac:dyDescent="0.25">
      <c r="B3" t="s">
        <v>16</v>
      </c>
    </row>
    <row r="4" spans="1:2" x14ac:dyDescent="0.25">
      <c r="B4" t="s">
        <v>17</v>
      </c>
    </row>
    <row r="5" spans="1:2" x14ac:dyDescent="0.25">
      <c r="B5" t="s">
        <v>18</v>
      </c>
    </row>
    <row r="6" spans="1:2" x14ac:dyDescent="0.25">
      <c r="B6" t="s">
        <v>19</v>
      </c>
    </row>
    <row r="7" spans="1:2" x14ac:dyDescent="0.25">
      <c r="B7" t="s">
        <v>20</v>
      </c>
    </row>
    <row r="8" spans="1:2" x14ac:dyDescent="0.25">
      <c r="B8" t="s">
        <v>170</v>
      </c>
    </row>
    <row r="9" spans="1:2" x14ac:dyDescent="0.25">
      <c r="B9" t="s">
        <v>171</v>
      </c>
    </row>
  </sheetData>
  <sheetProtection algorithmName="SHA-512" hashValue="j1HyKuCTyfnMsRlxxxQVqlGYokC1qjB0fenCvUE3pwCNdVnG3YhMQItmSOq9OLDfjrh/xaZ+xNyE61MaiTZrxg==" saltValue="LOsZuKy5lLal2pzpeNJ5x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38"/>
  <sheetViews>
    <sheetView topLeftCell="A18" workbookViewId="0">
      <selection activeCell="D38" sqref="D38"/>
    </sheetView>
  </sheetViews>
  <sheetFormatPr defaultRowHeight="15" x14ac:dyDescent="0.25"/>
  <cols>
    <col min="1" max="1" width="25.5703125" bestFit="1" customWidth="1"/>
    <col min="2" max="2" width="14" bestFit="1" customWidth="1"/>
    <col min="3" max="3" width="11.140625" bestFit="1" customWidth="1"/>
    <col min="5" max="5" width="13" customWidth="1"/>
    <col min="7" max="7" width="10.85546875" bestFit="1" customWidth="1"/>
    <col min="9" max="9" width="10.85546875" bestFit="1" customWidth="1"/>
  </cols>
  <sheetData>
    <row r="1" spans="1:9" x14ac:dyDescent="0.25">
      <c r="A1" s="64"/>
      <c r="B1" s="65" t="s">
        <v>0</v>
      </c>
      <c r="C1" s="64"/>
      <c r="D1" s="64"/>
      <c r="E1" s="65" t="s">
        <v>1</v>
      </c>
      <c r="G1" s="65" t="s">
        <v>0</v>
      </c>
      <c r="I1" s="65" t="s">
        <v>0</v>
      </c>
    </row>
    <row r="2" spans="1:9" ht="15.75" x14ac:dyDescent="0.25">
      <c r="A2" s="131" t="s">
        <v>214</v>
      </c>
      <c r="B2" s="133">
        <f>SUM(Income!F12)</f>
        <v>0</v>
      </c>
      <c r="C2" s="64"/>
      <c r="D2" s="64"/>
      <c r="E2" s="133">
        <f>SUM(Income!H12)</f>
        <v>0</v>
      </c>
      <c r="G2" s="133">
        <f>SUM(Income!J12)</f>
        <v>0</v>
      </c>
      <c r="I2" s="133">
        <f>SUM(Income!L12)</f>
        <v>0</v>
      </c>
    </row>
    <row r="3" spans="1:9" ht="15.75" x14ac:dyDescent="0.25">
      <c r="A3" s="66" t="s">
        <v>51</v>
      </c>
      <c r="B3" s="132">
        <f>SUM(Income!F6+Income!F8)</f>
        <v>0</v>
      </c>
      <c r="C3" s="67"/>
      <c r="D3" s="67"/>
      <c r="E3" s="132">
        <f>SUM(Income!H6+Income!H8)</f>
        <v>0</v>
      </c>
      <c r="G3" s="132">
        <f>SUM(Income!J6+Income!J8)</f>
        <v>0</v>
      </c>
      <c r="I3" s="132">
        <f>SUM(Income!L6+Income!L8)</f>
        <v>0</v>
      </c>
    </row>
    <row r="4" spans="1:9" ht="15.75" x14ac:dyDescent="0.25">
      <c r="A4" s="66" t="s">
        <v>228</v>
      </c>
      <c r="B4" s="67">
        <f>SUM(Income!F6)</f>
        <v>0</v>
      </c>
      <c r="C4" s="67"/>
      <c r="D4" s="67"/>
      <c r="E4" s="67">
        <f>SUM(Income!H6)</f>
        <v>0</v>
      </c>
      <c r="G4" s="67">
        <f>SUM(Income!J6)</f>
        <v>0</v>
      </c>
      <c r="I4" s="67">
        <f>SUM(Income!L6)</f>
        <v>0</v>
      </c>
    </row>
    <row r="5" spans="1:9" x14ac:dyDescent="0.25">
      <c r="A5" s="64"/>
      <c r="B5" s="67"/>
      <c r="C5" s="67"/>
      <c r="D5" s="67"/>
      <c r="E5" s="67"/>
      <c r="G5" s="67"/>
      <c r="I5" s="67"/>
    </row>
    <row r="6" spans="1:9" x14ac:dyDescent="0.25">
      <c r="A6" s="64" t="s">
        <v>2</v>
      </c>
      <c r="B6">
        <f>IF(B$3&lt;=0,0,IF(B$3&lt;=$B$33,$B$30,($B$30-((B$3-$B$33)/2))))</f>
        <v>0</v>
      </c>
      <c r="E6">
        <f>IF(E$3&lt;=0,0,IF(E$3&lt;=$B$33,$B$30,($B$30-((E$3-$B$33)/2))))</f>
        <v>0</v>
      </c>
      <c r="G6">
        <f>IF(G$3&lt;=0,0,IF(G$3&lt;=$B$33,$B$30,($B$30-((G$3-$B$33)/2))))</f>
        <v>0</v>
      </c>
      <c r="I6">
        <f>IF(I$3&lt;=0,0,IF(I$3&lt;=$B$33,$B$30,($B$30-((I$3-$B$33)/2))))</f>
        <v>0</v>
      </c>
    </row>
    <row r="7" spans="1:9" x14ac:dyDescent="0.25">
      <c r="A7" s="68" t="s">
        <v>114</v>
      </c>
      <c r="B7" s="69">
        <f>IF(B6&lt;0,0,B6)</f>
        <v>0</v>
      </c>
      <c r="C7" s="69"/>
      <c r="D7" s="69"/>
      <c r="E7" s="69">
        <f>IF(E6&lt;0,0,E6)</f>
        <v>0</v>
      </c>
      <c r="G7" s="69">
        <f>IF(G6&lt;0,0,G6)</f>
        <v>0</v>
      </c>
      <c r="I7" s="69">
        <f>IF(I6&lt;0,0,I6)</f>
        <v>0</v>
      </c>
    </row>
    <row r="8" spans="1:9" x14ac:dyDescent="0.25">
      <c r="A8" s="64" t="s">
        <v>51</v>
      </c>
      <c r="B8" s="67">
        <f>IF(B3&lt;=B7,0,SUM(B3-B7))</f>
        <v>0</v>
      </c>
      <c r="C8" s="67"/>
      <c r="D8" s="67"/>
      <c r="E8" s="67">
        <f>IF(E3&lt;=E7,0,SUM(E3-E7))</f>
        <v>0</v>
      </c>
      <c r="G8" s="67">
        <f>IF(G3&lt;=G7,0,SUM(G3-G7))</f>
        <v>0</v>
      </c>
      <c r="I8" s="67">
        <f>IF(I3&lt;=I7,0,SUM(I3-I7))</f>
        <v>0</v>
      </c>
    </row>
    <row r="9" spans="1:9" x14ac:dyDescent="0.25">
      <c r="A9" s="64" t="str">
        <f>"NIC Income &lt;= " &amp; VALUE($B$37)</f>
        <v>NIC Income &lt;= 50270</v>
      </c>
      <c r="B9" s="67">
        <f>IF(B$4&lt;=0,0,IF(B4&lt;=$B$37,(B4-$B$36)*$D$37,0))</f>
        <v>0</v>
      </c>
      <c r="C9" s="64"/>
      <c r="D9" s="64"/>
      <c r="E9" s="67">
        <f>IF(E$4&lt;=0,0,IF(E4&lt;=$B$37,(E4-$B$36)*$D$37,0))</f>
        <v>0</v>
      </c>
      <c r="G9" s="67">
        <f>IF(G$4&lt;=0,0,IF(G4&lt;=$B$37,(G4-$B$36)*$D$37,0))</f>
        <v>0</v>
      </c>
      <c r="I9" s="67">
        <f>IF(I$4&lt;=0,0,IF(I4&lt;=$B$37,(I4-$B$36)*$D$37,0))</f>
        <v>0</v>
      </c>
    </row>
    <row r="10" spans="1:9" x14ac:dyDescent="0.25">
      <c r="A10" s="68" t="s">
        <v>114</v>
      </c>
      <c r="B10" s="69">
        <f>IF(B9&lt;0,0,B9)</f>
        <v>0</v>
      </c>
      <c r="C10" s="70"/>
      <c r="D10" s="70"/>
      <c r="E10" s="69">
        <f>IF(E9&lt;0,0,E9)</f>
        <v>0</v>
      </c>
      <c r="G10" s="69">
        <f>IF(G9&lt;0,0,G9)</f>
        <v>0</v>
      </c>
      <c r="I10" s="69">
        <f>IF(I9&lt;0,0,I9)</f>
        <v>0</v>
      </c>
    </row>
    <row r="11" spans="1:9" x14ac:dyDescent="0.25">
      <c r="A11" s="64" t="str">
        <f>"NIC Income &gt; " &amp; VALUE($B$37)</f>
        <v>NIC Income &gt; 50270</v>
      </c>
      <c r="B11" s="67">
        <f>IF(B4&gt;$B$37,($C$37*$D$37)+((B4-$B$37)*$D$38),0)</f>
        <v>0</v>
      </c>
      <c r="C11" s="64"/>
      <c r="D11" s="64"/>
      <c r="E11" s="67">
        <f>IF(E4&gt;$B$37,($C$37*$D$37)+((E4-$B$37)*$D$38),0)</f>
        <v>0</v>
      </c>
      <c r="G11" s="67">
        <f>IF(G4&gt;$B$37,($C$37*$D$37)+((G4-$B$37)*$D$38),0)</f>
        <v>0</v>
      </c>
      <c r="I11" s="67">
        <f>IF(I4&gt;$B$37,($C$37*$D$37)+((I4-$B$37)*$D$38),0)</f>
        <v>0</v>
      </c>
    </row>
    <row r="12" spans="1:9" x14ac:dyDescent="0.25">
      <c r="A12" s="64"/>
      <c r="B12" s="64"/>
      <c r="C12" s="64"/>
      <c r="D12" s="64"/>
      <c r="E12" s="64"/>
      <c r="G12" s="64"/>
      <c r="I12" s="64"/>
    </row>
    <row r="13" spans="1:9" x14ac:dyDescent="0.25">
      <c r="A13" s="64" t="s">
        <v>53</v>
      </c>
      <c r="B13" s="67">
        <f>MIN($C$30,B8)</f>
        <v>0</v>
      </c>
      <c r="C13" s="64"/>
      <c r="D13" s="64"/>
      <c r="E13" s="67">
        <f>MIN($C$30,E8)</f>
        <v>0</v>
      </c>
      <c r="G13" s="67">
        <f>MIN($C$30,G8)</f>
        <v>0</v>
      </c>
      <c r="I13" s="67">
        <f>MIN($C$30,I8)</f>
        <v>0</v>
      </c>
    </row>
    <row r="14" spans="1:9" x14ac:dyDescent="0.25">
      <c r="A14" s="64" t="s">
        <v>52</v>
      </c>
      <c r="B14" s="71">
        <f>SUM(B13*$D$30)</f>
        <v>0</v>
      </c>
      <c r="C14" s="64"/>
      <c r="D14" s="64"/>
      <c r="E14" s="71">
        <f>SUM(E13*$D$30)</f>
        <v>0</v>
      </c>
      <c r="G14" s="71">
        <f>SUM(G13*$D$30)</f>
        <v>0</v>
      </c>
      <c r="I14" s="71">
        <f>SUM(I13*$D$30)</f>
        <v>0</v>
      </c>
    </row>
    <row r="15" spans="1:9" x14ac:dyDescent="0.25">
      <c r="A15" s="64" t="s">
        <v>56</v>
      </c>
      <c r="B15" s="67">
        <f>MIN($C$31,B8)-B13</f>
        <v>0</v>
      </c>
      <c r="C15" s="64"/>
      <c r="D15" s="64"/>
      <c r="E15" s="67">
        <f>MIN($C$31,E8)-E13</f>
        <v>0</v>
      </c>
      <c r="G15" s="67">
        <f>MIN($C$31,G8)-G13</f>
        <v>0</v>
      </c>
      <c r="I15" s="67">
        <f>MIN($C$31,I8)-I13</f>
        <v>0</v>
      </c>
    </row>
    <row r="16" spans="1:9" x14ac:dyDescent="0.25">
      <c r="A16" s="64" t="s">
        <v>54</v>
      </c>
      <c r="B16" s="71">
        <f>SUM(B15*$D$31)</f>
        <v>0</v>
      </c>
      <c r="C16" s="64"/>
      <c r="D16" s="64"/>
      <c r="E16" s="71">
        <f>SUM(E15*$D$31)</f>
        <v>0</v>
      </c>
      <c r="G16" s="71">
        <f>SUM(G15*$D$31)</f>
        <v>0</v>
      </c>
      <c r="I16" s="71">
        <f>SUM(I15*$D$31)</f>
        <v>0</v>
      </c>
    </row>
    <row r="17" spans="1:9" x14ac:dyDescent="0.25">
      <c r="A17" s="64" t="s">
        <v>57</v>
      </c>
      <c r="B17" s="67">
        <f>MIN($B38,B8)-B13-B15</f>
        <v>0</v>
      </c>
      <c r="C17" s="64"/>
      <c r="D17" s="64"/>
      <c r="E17" s="67">
        <f>MIN($B38,E8)-E13-E15</f>
        <v>0</v>
      </c>
      <c r="G17" s="67">
        <f>MIN($B38,G8)-G13-G15</f>
        <v>0</v>
      </c>
      <c r="I17" s="67">
        <f>MIN($B38,I8)-I13-I15</f>
        <v>0</v>
      </c>
    </row>
    <row r="18" spans="1:9" x14ac:dyDescent="0.25">
      <c r="A18" s="72" t="s">
        <v>55</v>
      </c>
      <c r="B18" s="71">
        <f>SUM(B17*$D$32)</f>
        <v>0</v>
      </c>
      <c r="C18" s="64"/>
      <c r="D18" s="64"/>
      <c r="E18" s="71">
        <f>SUM(E17*$D$32)</f>
        <v>0</v>
      </c>
      <c r="G18" s="71">
        <f>SUM(G17*$D$32)</f>
        <v>0</v>
      </c>
      <c r="I18" s="71">
        <f>SUM(I17*$D$32)</f>
        <v>0</v>
      </c>
    </row>
    <row r="19" spans="1:9" x14ac:dyDescent="0.25">
      <c r="A19" s="72"/>
      <c r="B19" s="67"/>
      <c r="C19" s="64"/>
      <c r="D19" s="64"/>
      <c r="E19" s="67"/>
      <c r="G19" s="67"/>
      <c r="I19" s="67"/>
    </row>
    <row r="20" spans="1:9" x14ac:dyDescent="0.25">
      <c r="A20" s="64" t="s">
        <v>58</v>
      </c>
      <c r="B20" s="67">
        <f>SUM(B14+B16+B18)</f>
        <v>0</v>
      </c>
      <c r="C20" s="64"/>
      <c r="D20" s="64"/>
      <c r="E20" s="67">
        <f>SUM(E14+E16+E18)</f>
        <v>0</v>
      </c>
      <c r="G20" s="67">
        <f>SUM(G14+G16+G18)</f>
        <v>0</v>
      </c>
      <c r="I20" s="67">
        <f>SUM(I14+I16+I18)</f>
        <v>0</v>
      </c>
    </row>
    <row r="21" spans="1:9" x14ac:dyDescent="0.25">
      <c r="A21" s="72" t="s">
        <v>59</v>
      </c>
      <c r="B21" s="67">
        <f>IF(B3&gt;$B37,B11,B10)</f>
        <v>0</v>
      </c>
      <c r="C21" s="64"/>
      <c r="D21" s="64"/>
      <c r="E21" s="67">
        <f>IF(E3&gt;$B37,E11,E10)</f>
        <v>0</v>
      </c>
      <c r="G21" s="67">
        <f>IF(G3&gt;$B37,G11,G10)</f>
        <v>0</v>
      </c>
      <c r="I21" s="67">
        <f>IF(I3&gt;$B37,I11,I10)</f>
        <v>0</v>
      </c>
    </row>
    <row r="22" spans="1:9" x14ac:dyDescent="0.25">
      <c r="A22" s="64"/>
      <c r="B22" s="67"/>
      <c r="C22" s="64"/>
      <c r="D22" s="64"/>
      <c r="E22" s="67"/>
      <c r="G22" s="67"/>
      <c r="I22" s="67"/>
    </row>
    <row r="23" spans="1:9" x14ac:dyDescent="0.25">
      <c r="A23" s="73" t="s">
        <v>3</v>
      </c>
      <c r="B23" s="74">
        <f>SUM(B20:B21)</f>
        <v>0</v>
      </c>
      <c r="C23" s="64"/>
      <c r="D23" s="64"/>
      <c r="E23" s="74">
        <f>SUM(E20:E21)</f>
        <v>0</v>
      </c>
      <c r="G23" s="74">
        <f>SUM(G20:G21)</f>
        <v>0</v>
      </c>
      <c r="I23" s="74">
        <f>SUM(I20:I21)</f>
        <v>0</v>
      </c>
    </row>
    <row r="24" spans="1:9" x14ac:dyDescent="0.25">
      <c r="A24" s="64"/>
      <c r="B24" s="64"/>
      <c r="C24" s="64"/>
      <c r="D24" s="64"/>
      <c r="E24" s="64"/>
      <c r="G24" s="64"/>
      <c r="I24" s="64"/>
    </row>
    <row r="25" spans="1:9" x14ac:dyDescent="0.25">
      <c r="A25" s="75" t="s">
        <v>4</v>
      </c>
      <c r="B25" s="74">
        <f>IF(B2&gt;0,(B2-B23)/12,0)</f>
        <v>0</v>
      </c>
      <c r="C25" s="64"/>
      <c r="D25" s="64"/>
      <c r="E25" s="74">
        <f>IF(E2&gt;0,(E2-E23)/12,0)</f>
        <v>0</v>
      </c>
      <c r="G25" s="74">
        <f>IF(G2&gt;0,(G2-G23)/12,0)</f>
        <v>0</v>
      </c>
      <c r="I25" s="74">
        <f>IF(I2&gt;0,(I2-I23)/12,0)</f>
        <v>0</v>
      </c>
    </row>
    <row r="28" spans="1:9" x14ac:dyDescent="0.25">
      <c r="A28" s="8" t="s">
        <v>162</v>
      </c>
    </row>
    <row r="29" spans="1:9" x14ac:dyDescent="0.25">
      <c r="A29" t="s">
        <v>163</v>
      </c>
      <c r="B29" s="92">
        <v>0</v>
      </c>
      <c r="C29" s="92">
        <f>B30-B29</f>
        <v>12570</v>
      </c>
      <c r="D29" s="93">
        <v>0</v>
      </c>
    </row>
    <row r="30" spans="1:9" x14ac:dyDescent="0.25">
      <c r="A30" t="s">
        <v>164</v>
      </c>
      <c r="B30" s="92">
        <v>12570</v>
      </c>
      <c r="C30" s="92">
        <f>B31-B30</f>
        <v>37700</v>
      </c>
      <c r="D30" s="93">
        <v>0.2</v>
      </c>
    </row>
    <row r="31" spans="1:9" x14ac:dyDescent="0.25">
      <c r="A31" t="s">
        <v>165</v>
      </c>
      <c r="B31" s="92">
        <v>50270</v>
      </c>
      <c r="C31" s="92">
        <f>B32</f>
        <v>125140</v>
      </c>
      <c r="D31" s="93">
        <v>0.4</v>
      </c>
    </row>
    <row r="32" spans="1:9" x14ac:dyDescent="0.25">
      <c r="A32" t="s">
        <v>166</v>
      </c>
      <c r="B32" s="92">
        <v>125140</v>
      </c>
      <c r="C32" s="92"/>
      <c r="D32" s="93">
        <v>0.45</v>
      </c>
    </row>
    <row r="33" spans="1:4" x14ac:dyDescent="0.25">
      <c r="A33" t="s">
        <v>167</v>
      </c>
      <c r="B33" s="92">
        <v>100000</v>
      </c>
      <c r="C33" s="92"/>
      <c r="D33" s="94">
        <v>2</v>
      </c>
    </row>
    <row r="35" spans="1:4" x14ac:dyDescent="0.25">
      <c r="A35" s="8" t="s">
        <v>168</v>
      </c>
    </row>
    <row r="36" spans="1:4" x14ac:dyDescent="0.25">
      <c r="A36" t="s">
        <v>169</v>
      </c>
      <c r="B36" s="92">
        <v>12570</v>
      </c>
      <c r="C36" s="92">
        <f>B36</f>
        <v>12570</v>
      </c>
      <c r="D36" s="93">
        <v>0</v>
      </c>
    </row>
    <row r="37" spans="1:4" x14ac:dyDescent="0.25">
      <c r="A37" t="s">
        <v>164</v>
      </c>
      <c r="B37" s="92">
        <v>50270</v>
      </c>
      <c r="C37" s="92">
        <f>B37-B36</f>
        <v>37700</v>
      </c>
      <c r="D37" s="135">
        <v>0.08</v>
      </c>
    </row>
    <row r="38" spans="1:4" x14ac:dyDescent="0.25">
      <c r="A38" t="s">
        <v>165</v>
      </c>
      <c r="B38" s="92">
        <v>50000000</v>
      </c>
      <c r="D38" s="135">
        <v>0.02</v>
      </c>
    </row>
  </sheetData>
  <sheetProtection algorithmName="SHA-512" hashValue="+pj0nZX7a8Zm6+xV5P7LJR9xYWFRCUn3nWXyoM0l6ha/62bbUcxJPHu0cAgBxKXuxFVIiituyqx5Sfs3B2HRHg==" saltValue="w5WIzSd+N8sMR2qpEGLDCg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M20"/>
  <sheetViews>
    <sheetView workbookViewId="0">
      <selection activeCell="G32" sqref="G32"/>
    </sheetView>
  </sheetViews>
  <sheetFormatPr defaultRowHeight="15" x14ac:dyDescent="0.25"/>
  <sheetData>
    <row r="1" spans="1:13" ht="18.75" x14ac:dyDescent="0.3">
      <c r="A1" s="32" t="s">
        <v>78</v>
      </c>
    </row>
    <row r="3" spans="1:13" x14ac:dyDescent="0.25">
      <c r="A3" s="33" t="s">
        <v>80</v>
      </c>
      <c r="B3" t="s">
        <v>79</v>
      </c>
    </row>
    <row r="4" spans="1:13" x14ac:dyDescent="0.25">
      <c r="A4" s="33" t="s">
        <v>81</v>
      </c>
      <c r="B4" t="s">
        <v>82</v>
      </c>
    </row>
    <row r="5" spans="1:13" x14ac:dyDescent="0.25">
      <c r="A5" s="33" t="s">
        <v>83</v>
      </c>
      <c r="B5" t="s">
        <v>87</v>
      </c>
    </row>
    <row r="6" spans="1:13" x14ac:dyDescent="0.25">
      <c r="A6" s="33" t="s">
        <v>84</v>
      </c>
      <c r="B6" t="s">
        <v>85</v>
      </c>
    </row>
    <row r="7" spans="1:13" ht="15.75" thickBot="1" x14ac:dyDescent="0.3">
      <c r="A7" s="33" t="s">
        <v>86</v>
      </c>
      <c r="B7" t="s">
        <v>88</v>
      </c>
    </row>
    <row r="8" spans="1:13" ht="15.75" thickBot="1" x14ac:dyDescent="0.3">
      <c r="A8" s="33" t="s">
        <v>89</v>
      </c>
      <c r="B8" t="s">
        <v>90</v>
      </c>
      <c r="G8" s="37">
        <v>0</v>
      </c>
    </row>
    <row r="9" spans="1:13" ht="15.75" thickBot="1" x14ac:dyDescent="0.3">
      <c r="A9" s="33" t="s">
        <v>91</v>
      </c>
      <c r="B9" t="s">
        <v>92</v>
      </c>
      <c r="G9" s="38">
        <v>0</v>
      </c>
    </row>
    <row r="10" spans="1:13" x14ac:dyDescent="0.25">
      <c r="A10" s="33" t="s">
        <v>93</v>
      </c>
      <c r="B10" t="s">
        <v>94</v>
      </c>
    </row>
    <row r="11" spans="1:13" ht="15.75" thickBot="1" x14ac:dyDescent="0.3">
      <c r="A11" s="33" t="s">
        <v>95</v>
      </c>
      <c r="B11" t="s">
        <v>96</v>
      </c>
    </row>
    <row r="12" spans="1:13" ht="15.75" thickBot="1" x14ac:dyDescent="0.3">
      <c r="A12" s="33" t="s">
        <v>97</v>
      </c>
      <c r="B12" t="s">
        <v>90</v>
      </c>
      <c r="G12" s="39">
        <v>0</v>
      </c>
    </row>
    <row r="13" spans="1:13" ht="15.75" thickBot="1" x14ac:dyDescent="0.3">
      <c r="A13" s="33" t="s">
        <v>98</v>
      </c>
      <c r="B13" t="s">
        <v>99</v>
      </c>
      <c r="G13" s="33"/>
      <c r="M13" s="35">
        <f>SUM(G9-G12)</f>
        <v>0</v>
      </c>
    </row>
    <row r="14" spans="1:13" ht="15.75" thickBot="1" x14ac:dyDescent="0.3">
      <c r="A14" s="33" t="s">
        <v>100</v>
      </c>
      <c r="B14" t="s">
        <v>111</v>
      </c>
    </row>
    <row r="15" spans="1:13" ht="15.75" thickBot="1" x14ac:dyDescent="0.3">
      <c r="A15" s="33" t="s">
        <v>101</v>
      </c>
      <c r="B15" t="s">
        <v>102</v>
      </c>
      <c r="G15" s="34">
        <f>SUM(G12+G8)</f>
        <v>0</v>
      </c>
    </row>
    <row r="16" spans="1:13" ht="15.75" thickBot="1" x14ac:dyDescent="0.3">
      <c r="A16" s="33" t="s">
        <v>103</v>
      </c>
      <c r="B16" t="s">
        <v>104</v>
      </c>
      <c r="M16" s="36" t="e">
        <f>SUM(G15/((Income!#REF!+Income!#REF!)-Expenditure!M13))</f>
        <v>#REF!</v>
      </c>
    </row>
    <row r="17" spans="1:2" x14ac:dyDescent="0.25">
      <c r="A17" s="33" t="s">
        <v>105</v>
      </c>
      <c r="B17" t="s">
        <v>106</v>
      </c>
    </row>
    <row r="18" spans="1:2" x14ac:dyDescent="0.25">
      <c r="B18" t="s">
        <v>107</v>
      </c>
    </row>
    <row r="19" spans="1:2" x14ac:dyDescent="0.25">
      <c r="B19" t="s">
        <v>108</v>
      </c>
    </row>
    <row r="20" spans="1:2" x14ac:dyDescent="0.25">
      <c r="A20" s="33" t="s">
        <v>109</v>
      </c>
      <c r="B20" t="s">
        <v>110</v>
      </c>
    </row>
  </sheetData>
  <sheetProtection algorithmName="SHA-512" hashValue="VSk9gl6D/7M6hja7nkxmKVbpo5J+kLD0zviKqoVvwi4+O0s9Ng9TFHMXu1x8eEkvUm8LcjVjSnAr1L0qxMs77w==" saltValue="lDFwlgqNOU1hPAjHaCJcxg==" spinCount="100000" sheet="1" objects="1" scenarios="1"/>
  <conditionalFormatting sqref="M13">
    <cfRule type="cellIs" dxfId="5" priority="5" operator="lessThan">
      <formula>0</formula>
    </cfRule>
    <cfRule type="cellIs" dxfId="4" priority="6" operator="greaterThanOrEqual">
      <formula>0</formula>
    </cfRule>
  </conditionalFormatting>
  <conditionalFormatting sqref="M16">
    <cfRule type="cellIs" dxfId="3" priority="1" operator="between">
      <formula>46</formula>
      <formula>55</formula>
    </cfRule>
    <cfRule type="cellIs" dxfId="2" priority="2" operator="greaterThanOrEqual">
      <formula>56%</formula>
    </cfRule>
    <cfRule type="cellIs" dxfId="1" priority="3" operator="between">
      <formula>46%</formula>
      <formula>55.99%</formula>
    </cfRule>
    <cfRule type="cellIs" dxfId="0" priority="4" operator="lessThanOrEqual">
      <formula>45.99%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L60"/>
  <sheetViews>
    <sheetView workbookViewId="0">
      <selection activeCell="D28" sqref="D28"/>
    </sheetView>
  </sheetViews>
  <sheetFormatPr defaultRowHeight="15" x14ac:dyDescent="0.25"/>
  <cols>
    <col min="2" max="2" width="18.5703125" bestFit="1" customWidth="1"/>
    <col min="3" max="3" width="16.5703125" customWidth="1"/>
    <col min="4" max="4" width="36.140625" customWidth="1"/>
    <col min="5" max="5" width="20.42578125" bestFit="1" customWidth="1"/>
    <col min="6" max="6" width="15.85546875" bestFit="1" customWidth="1"/>
    <col min="7" max="7" width="14.42578125" bestFit="1" customWidth="1"/>
    <col min="8" max="8" width="16.42578125" bestFit="1" customWidth="1"/>
    <col min="9" max="11" width="10.5703125" bestFit="1" customWidth="1"/>
    <col min="12" max="12" width="11.5703125" bestFit="1" customWidth="1"/>
  </cols>
  <sheetData>
    <row r="1" spans="1:12" x14ac:dyDescent="0.25">
      <c r="A1" s="41" t="s">
        <v>5</v>
      </c>
      <c r="B1" s="41"/>
      <c r="C1" s="41"/>
      <c r="D1" s="42" t="s">
        <v>148</v>
      </c>
      <c r="E1" s="42" t="s">
        <v>6</v>
      </c>
      <c r="F1" s="42" t="s">
        <v>7</v>
      </c>
      <c r="G1" s="42" t="s">
        <v>8</v>
      </c>
      <c r="H1" s="42" t="s">
        <v>9</v>
      </c>
      <c r="I1" s="42" t="s">
        <v>10</v>
      </c>
      <c r="J1" s="42" t="s">
        <v>11</v>
      </c>
      <c r="K1" s="42" t="s">
        <v>12</v>
      </c>
      <c r="L1" s="33" t="s">
        <v>3</v>
      </c>
    </row>
    <row r="2" spans="1:12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x14ac:dyDescent="0.25">
      <c r="A3" s="41"/>
      <c r="B3" s="42"/>
      <c r="C3" s="41"/>
      <c r="D3" s="41"/>
      <c r="E3" s="41"/>
      <c r="F3" s="41"/>
      <c r="G3" s="41"/>
      <c r="H3" s="41"/>
      <c r="I3" s="41"/>
      <c r="J3" s="41"/>
      <c r="K3" s="41"/>
    </row>
    <row r="4" spans="1:12" x14ac:dyDescent="0.25">
      <c r="A4" s="41"/>
      <c r="B4" s="42"/>
      <c r="C4" s="41"/>
      <c r="D4" s="43"/>
      <c r="E4" s="43"/>
      <c r="F4" s="43"/>
      <c r="G4" s="43"/>
      <c r="H4" s="43"/>
      <c r="I4" s="43"/>
      <c r="J4" s="41"/>
      <c r="K4" s="41"/>
    </row>
    <row r="5" spans="1:12" x14ac:dyDescent="0.25">
      <c r="A5" s="41"/>
      <c r="B5" s="42"/>
      <c r="C5" s="41"/>
      <c r="D5" s="44"/>
      <c r="E5" s="41"/>
      <c r="F5" s="41"/>
      <c r="G5" s="41"/>
      <c r="H5" s="41"/>
      <c r="I5" s="41"/>
      <c r="J5" s="41"/>
      <c r="K5" s="41"/>
    </row>
    <row r="6" spans="1:12" x14ac:dyDescent="0.25">
      <c r="A6" s="41"/>
      <c r="B6" s="40" t="s">
        <v>175</v>
      </c>
      <c r="C6" s="41"/>
      <c r="D6" s="45">
        <v>116.4</v>
      </c>
      <c r="E6" s="45">
        <v>15</v>
      </c>
      <c r="F6" s="45">
        <v>4</v>
      </c>
      <c r="G6" s="45">
        <v>39.1</v>
      </c>
      <c r="H6" s="45">
        <v>8</v>
      </c>
      <c r="I6" s="45">
        <v>9.1999999999999993</v>
      </c>
      <c r="J6" s="45">
        <v>34.200000000000003</v>
      </c>
      <c r="K6" s="45">
        <v>50</v>
      </c>
      <c r="L6" s="45">
        <v>275.89999999999998</v>
      </c>
    </row>
    <row r="7" spans="1:12" x14ac:dyDescent="0.25">
      <c r="A7" s="41"/>
      <c r="B7" s="40" t="s">
        <v>173</v>
      </c>
      <c r="C7" s="41"/>
      <c r="D7" s="45">
        <v>145.6</v>
      </c>
      <c r="E7" s="45">
        <v>23.5</v>
      </c>
      <c r="F7" s="45">
        <v>5.2</v>
      </c>
      <c r="G7" s="45">
        <v>69.7</v>
      </c>
      <c r="H7" s="45">
        <v>14.2</v>
      </c>
      <c r="I7" s="45">
        <v>15.9</v>
      </c>
      <c r="J7" s="45">
        <v>83.7</v>
      </c>
      <c r="K7" s="45">
        <v>115.9</v>
      </c>
      <c r="L7" s="45">
        <v>473.69999999999993</v>
      </c>
    </row>
    <row r="8" spans="1:12" x14ac:dyDescent="0.25">
      <c r="A8" s="41"/>
      <c r="B8" s="40" t="s">
        <v>176</v>
      </c>
      <c r="C8" s="41"/>
      <c r="D8" s="45">
        <v>145.9</v>
      </c>
      <c r="E8" s="45">
        <v>18.600000000000001</v>
      </c>
      <c r="F8" s="45">
        <v>3.1</v>
      </c>
      <c r="G8" s="45">
        <v>47.5</v>
      </c>
      <c r="H8" s="45">
        <v>5.5</v>
      </c>
      <c r="I8" s="45">
        <v>19.8</v>
      </c>
      <c r="J8" s="45">
        <v>34.1</v>
      </c>
      <c r="K8" s="45">
        <v>42.9</v>
      </c>
      <c r="L8" s="45">
        <v>317.39999999999998</v>
      </c>
    </row>
    <row r="9" spans="1:12" x14ac:dyDescent="0.25">
      <c r="A9" s="41"/>
      <c r="B9" s="40" t="s">
        <v>177</v>
      </c>
      <c r="C9" s="41"/>
      <c r="D9" s="45">
        <v>172.1</v>
      </c>
      <c r="E9" s="45">
        <v>20.3</v>
      </c>
      <c r="F9" s="45">
        <v>2.2999999999999998</v>
      </c>
      <c r="G9" s="45">
        <v>65.099999999999994</v>
      </c>
      <c r="H9" s="45">
        <v>5</v>
      </c>
      <c r="I9" s="45">
        <v>15.3</v>
      </c>
      <c r="J9" s="45">
        <v>49</v>
      </c>
      <c r="K9" s="45">
        <v>38.9</v>
      </c>
      <c r="L9" s="45">
        <v>368</v>
      </c>
    </row>
    <row r="10" spans="1:12" x14ac:dyDescent="0.25">
      <c r="A10" s="41"/>
      <c r="B10" s="40" t="s">
        <v>178</v>
      </c>
      <c r="C10" s="41"/>
      <c r="D10" s="45">
        <v>157.69999999999999</v>
      </c>
      <c r="E10" s="45">
        <v>23.5</v>
      </c>
      <c r="F10" s="45">
        <v>9.1</v>
      </c>
      <c r="G10" s="45">
        <v>80.900000000000006</v>
      </c>
      <c r="H10" s="45">
        <v>9.1999999999999993</v>
      </c>
      <c r="I10" s="45">
        <v>22.1</v>
      </c>
      <c r="J10" s="45">
        <v>78.3</v>
      </c>
      <c r="K10" s="45">
        <v>109.6</v>
      </c>
      <c r="L10" s="45">
        <v>490.4</v>
      </c>
    </row>
    <row r="11" spans="1:12" x14ac:dyDescent="0.25">
      <c r="A11" s="41"/>
      <c r="B11" s="40" t="s">
        <v>179</v>
      </c>
      <c r="C11" s="41"/>
      <c r="D11" s="45">
        <v>158</v>
      </c>
      <c r="E11" s="45">
        <v>26.2</v>
      </c>
      <c r="F11" s="45">
        <v>8.3000000000000007</v>
      </c>
      <c r="G11" s="45">
        <v>91.4</v>
      </c>
      <c r="H11" s="45">
        <v>10.8</v>
      </c>
      <c r="I11" s="45">
        <v>29</v>
      </c>
      <c r="J11" s="45">
        <v>93.3</v>
      </c>
      <c r="K11" s="45">
        <v>100.9</v>
      </c>
      <c r="L11" s="45">
        <v>517.9</v>
      </c>
    </row>
    <row r="12" spans="1:12" x14ac:dyDescent="0.25">
      <c r="A12" s="41"/>
      <c r="B12" s="40" t="s">
        <v>180</v>
      </c>
      <c r="C12" s="41"/>
      <c r="D12" s="45">
        <v>177.5</v>
      </c>
      <c r="E12" s="45">
        <v>26.6</v>
      </c>
      <c r="F12" s="45">
        <v>4.8</v>
      </c>
      <c r="G12" s="45">
        <v>106.4</v>
      </c>
      <c r="H12" s="45">
        <v>7.8</v>
      </c>
      <c r="I12" s="45">
        <v>30</v>
      </c>
      <c r="J12" s="45">
        <v>88.2</v>
      </c>
      <c r="K12" s="45">
        <v>91</v>
      </c>
      <c r="L12" s="45">
        <v>532.29999999999995</v>
      </c>
    </row>
    <row r="13" spans="1:12" x14ac:dyDescent="0.25">
      <c r="A13" s="41"/>
      <c r="B13" s="96" t="s">
        <v>172</v>
      </c>
      <c r="C13" s="41"/>
      <c r="D13" s="45">
        <v>78.2</v>
      </c>
      <c r="E13" s="45">
        <v>14.5</v>
      </c>
      <c r="F13" s="45">
        <v>4.7</v>
      </c>
      <c r="G13" s="45">
        <v>39.299999999999997</v>
      </c>
      <c r="H13" s="45">
        <v>6.5</v>
      </c>
      <c r="I13" s="45">
        <v>8.1999999999999993</v>
      </c>
      <c r="J13" s="45">
        <v>37.6</v>
      </c>
      <c r="K13" s="45">
        <v>23.8</v>
      </c>
      <c r="L13" s="45">
        <v>212.79999999999998</v>
      </c>
    </row>
    <row r="14" spans="1:12" x14ac:dyDescent="0.25">
      <c r="A14" s="41"/>
      <c r="B14" s="96" t="s">
        <v>174</v>
      </c>
      <c r="C14" s="41"/>
      <c r="D14" s="45">
        <v>97.1</v>
      </c>
      <c r="E14" s="45">
        <v>19</v>
      </c>
      <c r="F14" s="45">
        <v>8.6999999999999993</v>
      </c>
      <c r="G14" s="45">
        <v>72.3</v>
      </c>
      <c r="H14" s="45">
        <v>12.1</v>
      </c>
      <c r="I14" s="45">
        <v>11.6</v>
      </c>
      <c r="J14" s="45">
        <v>67.099999999999994</v>
      </c>
      <c r="K14" s="45">
        <v>65.099999999999994</v>
      </c>
      <c r="L14" s="45">
        <v>353</v>
      </c>
    </row>
    <row r="15" spans="1:12" x14ac:dyDescent="0.25">
      <c r="A15" s="41"/>
      <c r="B15" s="42"/>
      <c r="C15" s="41"/>
      <c r="D15" s="76">
        <v>1248.5</v>
      </c>
      <c r="E15" s="76">
        <v>187.20000000000002</v>
      </c>
      <c r="F15" s="76">
        <v>50.2</v>
      </c>
      <c r="G15" s="76">
        <v>611.69999999999993</v>
      </c>
      <c r="H15" s="76">
        <v>79.099999999999994</v>
      </c>
      <c r="I15" s="76">
        <v>161.1</v>
      </c>
      <c r="J15" s="76">
        <v>565.5</v>
      </c>
      <c r="K15" s="76">
        <v>638.1</v>
      </c>
      <c r="L15" s="76">
        <v>3541.4000000000005</v>
      </c>
    </row>
    <row r="16" spans="1:12" x14ac:dyDescent="0.25">
      <c r="A16" s="41"/>
      <c r="B16" s="42"/>
      <c r="C16" s="41"/>
      <c r="D16" s="76"/>
      <c r="E16" s="41"/>
      <c r="F16" s="41"/>
      <c r="G16" s="76"/>
      <c r="H16" s="41"/>
      <c r="I16" s="41"/>
      <c r="J16" s="41"/>
      <c r="K16" s="41"/>
    </row>
    <row r="17" spans="1:12" x14ac:dyDescent="0.25">
      <c r="A17" s="46" t="s">
        <v>13</v>
      </c>
      <c r="B17" s="42"/>
      <c r="C17" s="41"/>
      <c r="D17" s="76"/>
      <c r="E17" s="41"/>
      <c r="F17" s="76"/>
      <c r="G17" s="76"/>
      <c r="H17" s="41"/>
      <c r="I17" s="41"/>
      <c r="J17" s="41"/>
      <c r="K17" s="41"/>
    </row>
    <row r="18" spans="1:12" x14ac:dyDescent="0.25">
      <c r="A18" s="41" t="s">
        <v>14</v>
      </c>
      <c r="B18" s="40" t="s">
        <v>175</v>
      </c>
      <c r="C18" s="41"/>
      <c r="D18" s="45">
        <v>504.40000000000003</v>
      </c>
      <c r="E18" s="45">
        <v>65</v>
      </c>
      <c r="F18" s="45">
        <v>17.333333333333332</v>
      </c>
      <c r="G18" s="45">
        <v>169.43333333333334</v>
      </c>
      <c r="H18" s="45">
        <v>34.666666666666664</v>
      </c>
      <c r="I18" s="45">
        <v>39.866666666666667</v>
      </c>
      <c r="J18" s="45">
        <v>148.20000000000002</v>
      </c>
      <c r="K18" s="45">
        <v>216.66666666666666</v>
      </c>
      <c r="L18" s="45">
        <v>1195.5666666666668</v>
      </c>
    </row>
    <row r="19" spans="1:12" x14ac:dyDescent="0.25">
      <c r="A19" s="41" t="s">
        <v>15</v>
      </c>
      <c r="B19" s="40" t="s">
        <v>173</v>
      </c>
      <c r="C19" s="41"/>
      <c r="D19" s="45">
        <v>630.93333333333328</v>
      </c>
      <c r="E19" s="45">
        <v>101.83333333333333</v>
      </c>
      <c r="F19" s="45">
        <v>22.533333333333335</v>
      </c>
      <c r="G19" s="45">
        <v>302.03333333333336</v>
      </c>
      <c r="H19" s="45">
        <v>61.533333333333331</v>
      </c>
      <c r="I19" s="45">
        <v>68.900000000000006</v>
      </c>
      <c r="J19" s="45">
        <v>362.70000000000005</v>
      </c>
      <c r="K19" s="45">
        <v>502.23333333333335</v>
      </c>
      <c r="L19" s="45">
        <v>2052.6999999999998</v>
      </c>
    </row>
    <row r="20" spans="1:12" x14ac:dyDescent="0.25">
      <c r="A20" s="41" t="s">
        <v>16</v>
      </c>
      <c r="B20" s="40" t="s">
        <v>176</v>
      </c>
      <c r="C20" s="41"/>
      <c r="D20" s="45">
        <v>632.23333333333335</v>
      </c>
      <c r="E20" s="45">
        <v>80.600000000000009</v>
      </c>
      <c r="F20" s="45">
        <v>13.433333333333335</v>
      </c>
      <c r="G20" s="45">
        <v>205.83333333333334</v>
      </c>
      <c r="H20" s="45">
        <v>23.833333333333332</v>
      </c>
      <c r="I20" s="45">
        <v>85.800000000000011</v>
      </c>
      <c r="J20" s="45">
        <v>147.76666666666668</v>
      </c>
      <c r="K20" s="45">
        <v>185.89999999999998</v>
      </c>
      <c r="L20" s="45">
        <v>1375.4</v>
      </c>
    </row>
    <row r="21" spans="1:12" x14ac:dyDescent="0.25">
      <c r="A21" s="41" t="s">
        <v>17</v>
      </c>
      <c r="B21" s="40" t="s">
        <v>177</v>
      </c>
      <c r="C21" s="41"/>
      <c r="D21" s="45">
        <v>745.76666666666654</v>
      </c>
      <c r="E21" s="45">
        <v>87.966666666666683</v>
      </c>
      <c r="F21" s="45">
        <v>9.9666666666666668</v>
      </c>
      <c r="G21" s="45">
        <v>282.09999999999997</v>
      </c>
      <c r="H21" s="45">
        <v>21.666666666666668</v>
      </c>
      <c r="I21" s="45">
        <v>66.3</v>
      </c>
      <c r="J21" s="45">
        <v>212.33333333333334</v>
      </c>
      <c r="K21" s="45">
        <v>168.56666666666666</v>
      </c>
      <c r="L21" s="45">
        <v>1594.6666666666665</v>
      </c>
    </row>
    <row r="22" spans="1:12" x14ac:dyDescent="0.25">
      <c r="A22" s="41" t="s">
        <v>18</v>
      </c>
      <c r="B22" s="40" t="s">
        <v>178</v>
      </c>
      <c r="C22" s="41"/>
      <c r="D22" s="45">
        <v>683.36666666666667</v>
      </c>
      <c r="E22" s="45">
        <v>101.83333333333333</v>
      </c>
      <c r="F22" s="45">
        <v>39.43333333333333</v>
      </c>
      <c r="G22" s="45">
        <v>350.56666666666666</v>
      </c>
      <c r="H22" s="45">
        <v>39.866666666666667</v>
      </c>
      <c r="I22" s="45">
        <v>95.766666666666666</v>
      </c>
      <c r="J22" s="45">
        <v>339.3</v>
      </c>
      <c r="K22" s="45">
        <v>474.93333333333334</v>
      </c>
      <c r="L22" s="45">
        <v>2125.0666666666666</v>
      </c>
    </row>
    <row r="23" spans="1:12" x14ac:dyDescent="0.25">
      <c r="A23" s="41" t="s">
        <v>19</v>
      </c>
      <c r="B23" s="40" t="s">
        <v>179</v>
      </c>
      <c r="C23" s="41"/>
      <c r="D23" s="45">
        <v>684.66666666666663</v>
      </c>
      <c r="E23" s="45">
        <v>113.53333333333332</v>
      </c>
      <c r="F23" s="45">
        <v>35.966666666666669</v>
      </c>
      <c r="G23" s="45">
        <v>396.06666666666666</v>
      </c>
      <c r="H23" s="45">
        <v>46.800000000000004</v>
      </c>
      <c r="I23" s="45">
        <v>125.66666666666667</v>
      </c>
      <c r="J23" s="45">
        <v>404.29999999999995</v>
      </c>
      <c r="K23" s="45">
        <v>437.23333333333335</v>
      </c>
      <c r="L23" s="45">
        <v>2244.2333333333336</v>
      </c>
    </row>
    <row r="24" spans="1:12" x14ac:dyDescent="0.25">
      <c r="A24" s="41" t="s">
        <v>20</v>
      </c>
      <c r="B24" s="40" t="s">
        <v>180</v>
      </c>
      <c r="C24" s="41"/>
      <c r="D24" s="45">
        <v>769.16666666666663</v>
      </c>
      <c r="E24" s="45">
        <v>115.26666666666667</v>
      </c>
      <c r="F24" s="45">
        <v>20.8</v>
      </c>
      <c r="G24" s="45">
        <v>461.06666666666666</v>
      </c>
      <c r="H24" s="45">
        <v>33.799999999999997</v>
      </c>
      <c r="I24" s="45">
        <v>130</v>
      </c>
      <c r="J24" s="45">
        <v>382.20000000000005</v>
      </c>
      <c r="K24" s="45">
        <v>394.33333333333331</v>
      </c>
      <c r="L24" s="45">
        <v>2306.6333333333332</v>
      </c>
    </row>
    <row r="25" spans="1:12" x14ac:dyDescent="0.25">
      <c r="A25" s="41" t="s">
        <v>170</v>
      </c>
      <c r="B25" s="96" t="s">
        <v>172</v>
      </c>
      <c r="D25" s="45">
        <v>338.86666666666667</v>
      </c>
      <c r="E25" s="45">
        <v>62.833333333333336</v>
      </c>
      <c r="F25" s="45">
        <v>20.366666666666667</v>
      </c>
      <c r="G25" s="45">
        <v>170.29999999999998</v>
      </c>
      <c r="H25" s="45">
        <v>28.166666666666668</v>
      </c>
      <c r="I25" s="45">
        <v>35.533333333333331</v>
      </c>
      <c r="J25" s="45">
        <v>162.93333333333334</v>
      </c>
      <c r="K25" s="45">
        <v>103.13333333333334</v>
      </c>
      <c r="L25" s="45">
        <v>922.13333333333333</v>
      </c>
    </row>
    <row r="26" spans="1:12" x14ac:dyDescent="0.25">
      <c r="A26" s="41" t="s">
        <v>171</v>
      </c>
      <c r="B26" s="96" t="s">
        <v>174</v>
      </c>
      <c r="D26" s="45">
        <v>420.76666666666665</v>
      </c>
      <c r="E26" s="45">
        <v>82.333333333333329</v>
      </c>
      <c r="F26" s="45">
        <v>37.699999999999996</v>
      </c>
      <c r="G26" s="45">
        <v>313.3</v>
      </c>
      <c r="H26" s="45">
        <v>52.43333333333333</v>
      </c>
      <c r="I26" s="45">
        <v>50.266666666666659</v>
      </c>
      <c r="J26" s="45">
        <v>290.76666666666665</v>
      </c>
      <c r="K26" s="45">
        <v>282.09999999999997</v>
      </c>
      <c r="L26" s="45">
        <v>1529.6666666666665</v>
      </c>
    </row>
    <row r="27" spans="1:12" x14ac:dyDescent="0.25">
      <c r="D27" s="95"/>
      <c r="E27" s="95"/>
      <c r="F27" s="95"/>
      <c r="G27" s="95"/>
      <c r="H27" s="95"/>
      <c r="I27" s="95"/>
      <c r="J27" s="95"/>
      <c r="K27" s="95"/>
    </row>
    <row r="28" spans="1:12" x14ac:dyDescent="0.25">
      <c r="D28" s="95"/>
      <c r="E28" s="95"/>
      <c r="F28" s="95"/>
      <c r="G28" s="95"/>
      <c r="H28" s="95"/>
      <c r="I28" s="95"/>
      <c r="J28" s="95"/>
      <c r="K28" s="95"/>
      <c r="L28" s="95"/>
    </row>
    <row r="29" spans="1:12" x14ac:dyDescent="0.25">
      <c r="D29" s="95"/>
      <c r="E29" s="95"/>
      <c r="F29" s="95"/>
      <c r="G29" s="95"/>
      <c r="H29" s="95"/>
      <c r="I29" s="95"/>
      <c r="J29" s="95"/>
      <c r="K29" s="95"/>
      <c r="L29" s="95"/>
    </row>
    <row r="30" spans="1:12" x14ac:dyDescent="0.25">
      <c r="D30" s="95"/>
      <c r="E30" s="95"/>
      <c r="F30" s="95"/>
      <c r="G30" s="95"/>
      <c r="H30" s="95"/>
      <c r="I30" s="95"/>
      <c r="J30" s="95"/>
      <c r="K30" s="95"/>
      <c r="L30" s="95"/>
    </row>
    <row r="31" spans="1:12" x14ac:dyDescent="0.25">
      <c r="D31" s="95"/>
      <c r="E31" s="95"/>
      <c r="F31" s="95"/>
      <c r="G31" s="95"/>
      <c r="H31" s="95"/>
      <c r="I31" s="95"/>
      <c r="J31" s="95"/>
      <c r="K31" s="95"/>
      <c r="L31" s="95"/>
    </row>
    <row r="32" spans="1:12" x14ac:dyDescent="0.25">
      <c r="D32" s="95"/>
      <c r="E32" s="95"/>
      <c r="F32" s="95"/>
      <c r="G32" s="95"/>
      <c r="H32" s="95"/>
      <c r="I32" s="95"/>
      <c r="J32" s="95"/>
      <c r="K32" s="95"/>
      <c r="L32" s="95"/>
    </row>
    <row r="33" spans="4:12" x14ac:dyDescent="0.25">
      <c r="D33" s="95"/>
      <c r="E33" s="95"/>
      <c r="F33" s="95"/>
      <c r="G33" s="95"/>
      <c r="H33" s="95"/>
      <c r="I33" s="95"/>
      <c r="J33" s="95"/>
      <c r="K33" s="95"/>
      <c r="L33" s="95"/>
    </row>
    <row r="34" spans="4:12" x14ac:dyDescent="0.25">
      <c r="D34" s="95"/>
      <c r="E34" s="95"/>
      <c r="F34" s="95"/>
      <c r="G34" s="95"/>
      <c r="H34" s="95"/>
      <c r="I34" s="95"/>
      <c r="J34" s="95"/>
      <c r="K34" s="95"/>
      <c r="L34" s="95"/>
    </row>
    <row r="35" spans="4:12" x14ac:dyDescent="0.25">
      <c r="D35" s="95"/>
      <c r="E35" s="95"/>
      <c r="F35" s="95"/>
      <c r="G35" s="95"/>
      <c r="H35" s="95"/>
      <c r="I35" s="95"/>
      <c r="J35" s="95"/>
      <c r="K35" s="95"/>
      <c r="L35" s="95"/>
    </row>
    <row r="36" spans="4:12" x14ac:dyDescent="0.25">
      <c r="D36" s="95"/>
      <c r="E36" s="95"/>
      <c r="F36" s="95"/>
      <c r="G36" s="95"/>
      <c r="H36" s="95"/>
      <c r="I36" s="95"/>
      <c r="J36" s="95"/>
      <c r="K36" s="95"/>
      <c r="L36" s="95"/>
    </row>
    <row r="37" spans="4:12" x14ac:dyDescent="0.25">
      <c r="D37" s="95"/>
      <c r="E37" s="95"/>
      <c r="F37" s="95"/>
      <c r="G37" s="95"/>
      <c r="H37" s="95"/>
      <c r="I37" s="95"/>
      <c r="J37" s="95"/>
      <c r="K37" s="95"/>
    </row>
    <row r="38" spans="4:12" x14ac:dyDescent="0.25">
      <c r="D38" s="95"/>
      <c r="E38" s="95"/>
      <c r="F38" s="95"/>
      <c r="G38" s="95"/>
      <c r="H38" s="95"/>
      <c r="I38" s="95"/>
      <c r="J38" s="95"/>
      <c r="K38" s="95"/>
    </row>
    <row r="39" spans="4:12" x14ac:dyDescent="0.25">
      <c r="D39" s="95"/>
      <c r="E39" s="95"/>
      <c r="F39" s="95"/>
      <c r="G39" s="95"/>
      <c r="H39" s="95"/>
      <c r="I39" s="95"/>
      <c r="J39" s="95"/>
      <c r="K39" s="95"/>
      <c r="L39" s="95"/>
    </row>
    <row r="40" spans="4:12" x14ac:dyDescent="0.25">
      <c r="D40" s="95"/>
      <c r="E40" s="95"/>
      <c r="F40" s="95"/>
      <c r="G40" s="95"/>
      <c r="H40" s="95"/>
      <c r="I40" s="95"/>
      <c r="J40" s="95"/>
      <c r="K40" s="95"/>
      <c r="L40" s="95"/>
    </row>
    <row r="41" spans="4:12" x14ac:dyDescent="0.25">
      <c r="D41" s="95"/>
      <c r="E41" s="95"/>
      <c r="F41" s="95"/>
      <c r="G41" s="95"/>
      <c r="H41" s="95"/>
      <c r="I41" s="95"/>
      <c r="J41" s="95"/>
      <c r="K41" s="95"/>
      <c r="L41" s="95"/>
    </row>
    <row r="42" spans="4:12" x14ac:dyDescent="0.25">
      <c r="D42" s="95"/>
      <c r="E42" s="95"/>
      <c r="F42" s="95"/>
      <c r="G42" s="95"/>
      <c r="H42" s="95"/>
      <c r="I42" s="95"/>
      <c r="J42" s="95"/>
      <c r="K42" s="95"/>
      <c r="L42" s="95"/>
    </row>
    <row r="43" spans="4:12" x14ac:dyDescent="0.25">
      <c r="D43" s="95"/>
      <c r="E43" s="95"/>
      <c r="F43" s="95"/>
      <c r="G43" s="95"/>
      <c r="H43" s="95"/>
      <c r="I43" s="95"/>
      <c r="J43" s="95"/>
      <c r="K43" s="95"/>
      <c r="L43" s="95"/>
    </row>
    <row r="44" spans="4:12" x14ac:dyDescent="0.25">
      <c r="D44" s="95"/>
      <c r="E44" s="95"/>
      <c r="F44" s="95"/>
      <c r="G44" s="95"/>
      <c r="H44" s="95"/>
      <c r="I44" s="95"/>
      <c r="J44" s="95"/>
      <c r="K44" s="95"/>
      <c r="L44" s="95"/>
    </row>
    <row r="45" spans="4:12" x14ac:dyDescent="0.25">
      <c r="D45" s="95"/>
      <c r="E45" s="95"/>
      <c r="F45" s="95"/>
      <c r="G45" s="95"/>
      <c r="H45" s="95"/>
      <c r="I45" s="95"/>
      <c r="J45" s="95"/>
      <c r="K45" s="95"/>
      <c r="L45" s="95"/>
    </row>
    <row r="46" spans="4:12" x14ac:dyDescent="0.25">
      <c r="D46" s="95"/>
      <c r="E46" s="95"/>
      <c r="F46" s="95"/>
      <c r="G46" s="95"/>
      <c r="H46" s="95"/>
      <c r="I46" s="95"/>
      <c r="J46" s="95"/>
      <c r="K46" s="95"/>
      <c r="L46" s="95"/>
    </row>
    <row r="47" spans="4:12" x14ac:dyDescent="0.25">
      <c r="D47" s="95"/>
      <c r="E47" s="95"/>
      <c r="F47" s="95"/>
      <c r="G47" s="95"/>
      <c r="H47" s="95"/>
      <c r="I47" s="95"/>
      <c r="J47" s="95"/>
      <c r="K47" s="95"/>
      <c r="L47" s="95"/>
    </row>
    <row r="48" spans="4:12" x14ac:dyDescent="0.25">
      <c r="D48" s="95"/>
      <c r="E48" s="95"/>
      <c r="F48" s="95"/>
      <c r="G48" s="95"/>
      <c r="H48" s="95"/>
      <c r="I48" s="95"/>
      <c r="J48" s="95"/>
      <c r="K48" s="95"/>
      <c r="L48" s="95"/>
    </row>
    <row r="49" spans="4:12" x14ac:dyDescent="0.25">
      <c r="D49" s="95"/>
      <c r="E49" s="95"/>
      <c r="F49" s="95"/>
      <c r="G49" s="95"/>
      <c r="H49" s="95"/>
      <c r="I49" s="95"/>
      <c r="J49" s="95"/>
      <c r="K49" s="95"/>
      <c r="L49" s="95"/>
    </row>
    <row r="50" spans="4:12" x14ac:dyDescent="0.25">
      <c r="D50" s="95"/>
      <c r="E50" s="95"/>
      <c r="F50" s="95"/>
      <c r="G50" s="95"/>
      <c r="H50" s="95"/>
      <c r="I50" s="95"/>
      <c r="J50" s="95"/>
      <c r="K50" s="95"/>
      <c r="L50" s="95"/>
    </row>
    <row r="51" spans="4:12" x14ac:dyDescent="0.25">
      <c r="D51" s="95"/>
      <c r="E51" s="95"/>
      <c r="F51" s="95"/>
      <c r="G51" s="95"/>
      <c r="H51" s="95"/>
      <c r="I51" s="95"/>
      <c r="J51" s="95"/>
      <c r="K51" s="95"/>
      <c r="L51" s="95"/>
    </row>
    <row r="52" spans="4:12" x14ac:dyDescent="0.25">
      <c r="D52" s="95"/>
      <c r="E52" s="95"/>
      <c r="F52" s="95"/>
      <c r="G52" s="95"/>
      <c r="H52" s="95"/>
      <c r="I52" s="95"/>
      <c r="J52" s="95"/>
      <c r="K52" s="95"/>
      <c r="L52" s="95"/>
    </row>
    <row r="53" spans="4:12" x14ac:dyDescent="0.25">
      <c r="D53" s="95"/>
      <c r="E53" s="95"/>
      <c r="F53" s="95"/>
      <c r="G53" s="95"/>
      <c r="H53" s="95"/>
      <c r="I53" s="95"/>
      <c r="J53" s="95"/>
      <c r="K53" s="95"/>
      <c r="L53" s="95"/>
    </row>
    <row r="54" spans="4:12" x14ac:dyDescent="0.25">
      <c r="D54" s="95"/>
      <c r="E54" s="95"/>
      <c r="F54" s="95"/>
      <c r="G54" s="95"/>
      <c r="H54" s="95"/>
      <c r="I54" s="95"/>
      <c r="J54" s="95"/>
      <c r="K54" s="95"/>
      <c r="L54" s="95"/>
    </row>
    <row r="55" spans="4:12" x14ac:dyDescent="0.25">
      <c r="D55" s="95"/>
      <c r="E55" s="95"/>
      <c r="F55" s="95"/>
      <c r="G55" s="95"/>
      <c r="H55" s="95"/>
      <c r="I55" s="95"/>
      <c r="J55" s="95"/>
      <c r="K55" s="95"/>
      <c r="L55" s="95"/>
    </row>
    <row r="56" spans="4:12" x14ac:dyDescent="0.25">
      <c r="D56" s="95"/>
      <c r="E56" s="95"/>
      <c r="F56" s="95"/>
      <c r="G56" s="95"/>
      <c r="H56" s="95"/>
      <c r="I56" s="95"/>
      <c r="J56" s="95"/>
      <c r="K56" s="95"/>
      <c r="L56" s="95"/>
    </row>
    <row r="57" spans="4:12" x14ac:dyDescent="0.25">
      <c r="D57" s="95"/>
      <c r="E57" s="95"/>
      <c r="F57" s="95"/>
      <c r="G57" s="95"/>
      <c r="H57" s="95"/>
      <c r="I57" s="95"/>
      <c r="J57" s="95"/>
      <c r="K57" s="95"/>
      <c r="L57" s="95"/>
    </row>
    <row r="58" spans="4:12" x14ac:dyDescent="0.25">
      <c r="D58" s="95"/>
      <c r="E58" s="95"/>
      <c r="F58" s="95"/>
      <c r="G58" s="95"/>
      <c r="H58" s="95"/>
      <c r="I58" s="95"/>
      <c r="J58" s="95"/>
      <c r="K58" s="95"/>
      <c r="L58" s="95"/>
    </row>
    <row r="59" spans="4:12" x14ac:dyDescent="0.25">
      <c r="D59" s="95"/>
    </row>
    <row r="60" spans="4:12" x14ac:dyDescent="0.25">
      <c r="D60" s="95"/>
    </row>
  </sheetData>
  <sheetProtection algorithmName="SHA-512" hashValue="a1PScnjou3RiD5GNCsw9IP4sFsHJ/3qvQzCxiD///DAabLkrtodVgsUPXeDjNLoKG3ccFacMN/++F8nLwYtNdA==" saltValue="y30zPB7LB3KV4YozpTULu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Income</vt:lpstr>
      <vt:lpstr>Expenditure</vt:lpstr>
      <vt:lpstr>Results</vt:lpstr>
      <vt:lpstr>Lists2</vt:lpstr>
      <vt:lpstr>Calc</vt:lpstr>
      <vt:lpstr>Lists</vt:lpstr>
      <vt:lpstr>Income Calculator</vt:lpstr>
      <vt:lpstr>Part &amp; Part</vt:lpstr>
      <vt:lpstr>ONS Data</vt:lpstr>
      <vt:lpstr>BTL Product Data</vt:lpstr>
      <vt:lpstr>ONS Data BTL</vt:lpstr>
      <vt:lpstr>Income Multiplier</vt:lpstr>
      <vt:lpstr>GreaterLDN</vt:lpstr>
      <vt:lpstr>Expenditure!Print_Area</vt:lpstr>
      <vt:lpstr>Income!Print_Area</vt:lpstr>
      <vt:lpstr>Results!Print_Area</vt:lpstr>
    </vt:vector>
  </TitlesOfParts>
  <Company>DBS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Hyde</dc:creator>
  <cp:lastModifiedBy>Emma Lewis</cp:lastModifiedBy>
  <cp:lastPrinted>2015-03-12T09:59:14Z</cp:lastPrinted>
  <dcterms:created xsi:type="dcterms:W3CDTF">2014-04-24T09:30:48Z</dcterms:created>
  <dcterms:modified xsi:type="dcterms:W3CDTF">2026-03-25T10:31:44Z</dcterms:modified>
</cp:coreProperties>
</file>