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O:\Products\Mortgages\Calculators\"/>
    </mc:Choice>
  </mc:AlternateContent>
  <xr:revisionPtr revIDLastSave="0" documentId="8_{54AFC794-8B94-489C-87E9-4A562B2CC1E9}" xr6:coauthVersionLast="47" xr6:coauthVersionMax="47" xr10:uidLastSave="{00000000-0000-0000-0000-000000000000}"/>
  <workbookProtection workbookAlgorithmName="SHA-512" workbookHashValue="3Z6qNaFPi/PbndWEdkFnoHIw6GqUuj4txL8djPcln8RfBT4f/S8McoBHiL4uCSoVnevXfjuHVtSOqVo7OToqOA==" workbookSaltValue="hV569/ErfhHEunednZQgsg==" workbookSpinCount="100000" lockStructure="1"/>
  <bookViews>
    <workbookView xWindow="-120" yWindow="-120" windowWidth="29040" windowHeight="15720" activeTab="2" xr2:uid="{00000000-000D-0000-FFFF-FFFF00000000}"/>
  </bookViews>
  <sheets>
    <sheet name="Income" sheetId="1" r:id="rId1"/>
    <sheet name="Expenditure" sheetId="6" r:id="rId2"/>
    <sheet name="Results" sheetId="3" r:id="rId3"/>
    <sheet name="ONS Data" sheetId="4" state="hidden" r:id="rId4"/>
    <sheet name="Income Calculator" sheetId="5" state="hidden" r:id="rId5"/>
    <sheet name="Calc" sheetId="7" state="hidden" r:id="rId6"/>
    <sheet name="Help " sheetId="8" r:id="rId7"/>
    <sheet name="Part &amp; Part" sheetId="9" r:id="rId8"/>
    <sheet name="Lists2" sheetId="12" state="hidden" r:id="rId9"/>
    <sheet name="Lists" sheetId="11" state="hidden" r:id="rId10"/>
    <sheet name="ProductData" sheetId="10" state="hidden" r:id="rId11"/>
  </sheets>
  <externalReferences>
    <externalReference r:id="rId12"/>
  </externalReferences>
  <definedNames>
    <definedName name="GL">'[1]ONS Data BTL'!#REF!</definedName>
    <definedName name="greaterL">'[1]ONS Data BTL'!$A$10:$B$29</definedName>
    <definedName name="greaterlondon">'[1]ONS Data BTL'!#REF!</definedName>
    <definedName name="_xlnm.Print_Area" localSheetId="1">Expenditure!$A$1:$T$34</definedName>
    <definedName name="_xlnm.Print_Area" localSheetId="0">Income!$A$1:$I$25</definedName>
    <definedName name="_xlnm.Print_Area" localSheetId="2">Results!$A$1:$P$30</definedName>
    <definedName name="prodrate" localSheetId="9">[1]Results!#REF!</definedName>
    <definedName name="prodrate">Results!#REF!</definedName>
    <definedName name="Query_from_DPR_DMART" localSheetId="10" hidden="1">ProductData!$A$1:$H$56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5" l="1"/>
  <c r="I4" i="5" l="1"/>
  <c r="G4" i="5"/>
  <c r="E4" i="5"/>
  <c r="I3" i="5"/>
  <c r="G3" i="5"/>
  <c r="E3" i="5"/>
  <c r="I11" i="5" l="1"/>
  <c r="I9" i="5"/>
  <c r="G9" i="5"/>
  <c r="G11" i="5"/>
  <c r="E9" i="5"/>
  <c r="E11" i="5"/>
  <c r="B3" i="5"/>
  <c r="L12" i="1"/>
  <c r="J12" i="1"/>
  <c r="H12" i="1"/>
  <c r="F12" i="1"/>
  <c r="L19" i="4"/>
  <c r="L20" i="4"/>
  <c r="L21" i="4"/>
  <c r="L22" i="4"/>
  <c r="L23" i="4"/>
  <c r="L24" i="4"/>
  <c r="L25" i="4"/>
  <c r="L26" i="4"/>
  <c r="L18" i="4"/>
  <c r="B11" i="5" l="1"/>
  <c r="B9" i="5"/>
  <c r="M26" i="6"/>
  <c r="C30" i="5" l="1"/>
  <c r="G15" i="9" l="1"/>
  <c r="M9" i="6" l="1"/>
  <c r="M10" i="6"/>
  <c r="M11" i="6"/>
  <c r="M12" i="6"/>
  <c r="M13" i="6"/>
  <c r="M8" i="6"/>
  <c r="H14" i="6"/>
  <c r="G14" i="6"/>
  <c r="I2" i="5"/>
  <c r="G2" i="5"/>
  <c r="I6" i="5" l="1"/>
  <c r="I7" i="5" s="1"/>
  <c r="I8" i="5" s="1"/>
  <c r="I13" i="5" s="1"/>
  <c r="G6" i="5"/>
  <c r="G7" i="5" s="1"/>
  <c r="G8" i="5" s="1"/>
  <c r="G13" i="5" s="1"/>
  <c r="I10" i="5" l="1"/>
  <c r="I21" i="5" s="1"/>
  <c r="G10" i="5"/>
  <c r="G21" i="5" s="1"/>
  <c r="I14" i="5"/>
  <c r="G14" i="5"/>
  <c r="M13" i="9"/>
  <c r="O27" i="6" l="1"/>
  <c r="M27" i="6" s="1"/>
  <c r="O24" i="6"/>
  <c r="M24" i="6" s="1"/>
  <c r="O18" i="6"/>
  <c r="M18" i="6" s="1"/>
  <c r="C37" i="5" l="1"/>
  <c r="C36" i="5"/>
  <c r="C31" i="5"/>
  <c r="C29" i="5"/>
  <c r="A11" i="5"/>
  <c r="A9" i="5"/>
  <c r="L14" i="4"/>
  <c r="L13" i="4"/>
  <c r="L12" i="4"/>
  <c r="L11" i="4"/>
  <c r="L10" i="4"/>
  <c r="L9" i="4"/>
  <c r="L8" i="4"/>
  <c r="L7" i="4"/>
  <c r="L6" i="4"/>
  <c r="I15" i="5" l="1"/>
  <c r="G15" i="5"/>
  <c r="L15" i="4"/>
  <c r="H9" i="3"/>
  <c r="H14" i="3"/>
  <c r="H13" i="3"/>
  <c r="H12" i="3"/>
  <c r="H11" i="3"/>
  <c r="H10" i="3"/>
  <c r="H7" i="3"/>
  <c r="G16" i="5" l="1"/>
  <c r="G17" i="5"/>
  <c r="G18" i="5" s="1"/>
  <c r="I16" i="5"/>
  <c r="I17" i="5"/>
  <c r="I18" i="5" s="1"/>
  <c r="I20" i="5" s="1"/>
  <c r="I23" i="5" s="1"/>
  <c r="I25" i="5" s="1"/>
  <c r="L14" i="1" s="1"/>
  <c r="B1" i="3"/>
  <c r="B1" i="6"/>
  <c r="B1" i="1"/>
  <c r="F29" i="6"/>
  <c r="M28" i="6"/>
  <c r="M20" i="6"/>
  <c r="M19" i="6"/>
  <c r="E2" i="5"/>
  <c r="F21" i="6"/>
  <c r="I14" i="6"/>
  <c r="F14" i="6"/>
  <c r="M14" i="6" s="1"/>
  <c r="H20" i="3"/>
  <c r="O25" i="6"/>
  <c r="M25" i="6" s="1"/>
  <c r="G20" i="5" l="1"/>
  <c r="G23" i="5" s="1"/>
  <c r="G25" i="5" s="1"/>
  <c r="J14" i="1" s="1"/>
  <c r="F32" i="6"/>
  <c r="B2" i="5"/>
  <c r="H30" i="3"/>
  <c r="H32" i="3" s="1"/>
  <c r="E6" i="5"/>
  <c r="E7" i="5" s="1"/>
  <c r="B10" i="5"/>
  <c r="B21" i="5" s="1"/>
  <c r="B6" i="5"/>
  <c r="B7" i="5" s="1"/>
  <c r="B8" i="5" s="1"/>
  <c r="B13" i="5" s="1"/>
  <c r="I30" i="3"/>
  <c r="M21" i="6"/>
  <c r="M29" i="6"/>
  <c r="E8" i="5" l="1"/>
  <c r="E13" i="5" s="1"/>
  <c r="E10" i="5"/>
  <c r="E21" i="5" s="1"/>
  <c r="B15" i="5"/>
  <c r="B16" i="5" s="1"/>
  <c r="B14" i="5"/>
  <c r="M32" i="6"/>
  <c r="E15" i="5" l="1"/>
  <c r="E16" i="5" s="1"/>
  <c r="E14" i="5"/>
  <c r="B17" i="5"/>
  <c r="B18" i="5" s="1"/>
  <c r="B20" i="5" s="1"/>
  <c r="B23" i="5" s="1"/>
  <c r="F2" i="7"/>
  <c r="E17" i="5" l="1"/>
  <c r="E18" i="5" s="1"/>
  <c r="E20" i="5" s="1"/>
  <c r="E23" i="5" s="1"/>
  <c r="E25" i="5" s="1"/>
  <c r="H14" i="1" s="1"/>
  <c r="B25" i="5"/>
  <c r="F14" i="1" s="1"/>
  <c r="F3" i="7" l="1"/>
  <c r="A1" i="7" s="1"/>
  <c r="H26" i="3"/>
  <c r="A6" i="7" s="1"/>
  <c r="H22" i="3"/>
  <c r="M16" i="9"/>
  <c r="H28" i="3" l="1"/>
  <c r="H24"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Query from DPR_DMART" type="1" refreshedVersion="8" background="1" saveData="1">
    <dbPr connection="DRIVER=SQL Server;SERVER=DBS-SQL01\DBS2016;UID=dud00177;Trusted_Connection=Yes;APP=Microsoft Office 2010;WSID=DBS-BIR-XA02;DATABASE=DPR_DMART" command="exec Output_Active_RES_Product_Rates 1"/>
  </connection>
</connections>
</file>

<file path=xl/sharedStrings.xml><?xml version="1.0" encoding="utf-8"?>
<sst xmlns="http://schemas.openxmlformats.org/spreadsheetml/2006/main" count="574" uniqueCount="253">
  <si>
    <t>Applicant 1</t>
  </si>
  <si>
    <t>Applicant 2</t>
  </si>
  <si>
    <t>Personal Tax Allowance</t>
  </si>
  <si>
    <t>Total</t>
  </si>
  <si>
    <t>Monthly Net Income</t>
  </si>
  <si>
    <t>Expenditure</t>
  </si>
  <si>
    <t>Communication</t>
  </si>
  <si>
    <t>Health</t>
  </si>
  <si>
    <t>Food/Groceries</t>
  </si>
  <si>
    <t>Alcohol/Cigarettes</t>
  </si>
  <si>
    <t>Clothing</t>
  </si>
  <si>
    <t>Recreation</t>
  </si>
  <si>
    <t>Transport</t>
  </si>
  <si>
    <t>Monthly</t>
  </si>
  <si>
    <t>A</t>
  </si>
  <si>
    <t>B</t>
  </si>
  <si>
    <t>C</t>
  </si>
  <si>
    <t>D</t>
  </si>
  <si>
    <t>E</t>
  </si>
  <si>
    <t>F</t>
  </si>
  <si>
    <t>G</t>
  </si>
  <si>
    <t>Household Expenditure</t>
  </si>
  <si>
    <t>Free Disposable Income</t>
  </si>
  <si>
    <t>Mortgage</t>
  </si>
  <si>
    <t>Total Loan</t>
  </si>
  <si>
    <t>Current SVR</t>
  </si>
  <si>
    <t>Term in Years</t>
  </si>
  <si>
    <t>If Fixed for 5 years or more enter the Initial Rate</t>
  </si>
  <si>
    <t>Stressed Interest Rate</t>
  </si>
  <si>
    <t>Stressed Monthly Payment</t>
  </si>
  <si>
    <t>Mortgage Payment as % of Disp Income</t>
  </si>
  <si>
    <t>Income Multiplier Test</t>
  </si>
  <si>
    <t>Expenditure From Budget Planner</t>
  </si>
  <si>
    <t>Expenditure Used</t>
  </si>
  <si>
    <t xml:space="preserve">Credit Commitments </t>
  </si>
  <si>
    <t>Shared Ownership Rent/Shared Equity Loan</t>
  </si>
  <si>
    <t>Cost of Repayment Vehicle (Interest Only)</t>
  </si>
  <si>
    <t>Sub Total</t>
  </si>
  <si>
    <t>Committed Expenditure</t>
  </si>
  <si>
    <t>Council Tax</t>
  </si>
  <si>
    <t>Nursery/School/University Fees</t>
  </si>
  <si>
    <t>Personal Expenditure</t>
  </si>
  <si>
    <t>Total Expenditure</t>
  </si>
  <si>
    <t>Loan Repayments</t>
  </si>
  <si>
    <t>Other Standing Orders &amp; Direct Debits</t>
  </si>
  <si>
    <t>Expenditure (Monthly)</t>
  </si>
  <si>
    <t>Any Other Expenses</t>
  </si>
  <si>
    <t>Income</t>
  </si>
  <si>
    <t>Total Gross Income</t>
  </si>
  <si>
    <t>Household Code</t>
  </si>
  <si>
    <t>% Affordability Result</t>
  </si>
  <si>
    <t>Remaining Monthly Income Result</t>
  </si>
  <si>
    <t>Affordability Results</t>
  </si>
  <si>
    <t>Results</t>
  </si>
  <si>
    <t>Taxable Income</t>
  </si>
  <si>
    <t>Taxed at 20%</t>
  </si>
  <si>
    <t>Amount To Be Taxed at 20%</t>
  </si>
  <si>
    <t>Taxed at 40%</t>
  </si>
  <si>
    <t>Taxed at 45%</t>
  </si>
  <si>
    <t>Amount To Be Taxed at 40%</t>
  </si>
  <si>
    <t>Amount To Be Taxed at 45%</t>
  </si>
  <si>
    <t>Tax Deductions</t>
  </si>
  <si>
    <t>NI Deductions</t>
  </si>
  <si>
    <t>Credit Card / Store Card Monthly Payments *</t>
  </si>
  <si>
    <t>Expenditure From Credit Check / App</t>
  </si>
  <si>
    <t>ONS</t>
  </si>
  <si>
    <t>Remaining Monthly Income</t>
  </si>
  <si>
    <t>Help - Income Tab</t>
  </si>
  <si>
    <t>This field will calculate the total gross income that can be used for the applicant.</t>
  </si>
  <si>
    <t>This field will calculate the total income that can be used for the applicant and will net down any gross salary entered.</t>
  </si>
  <si>
    <r>
      <t xml:space="preserve">Input the Household Code for the table that represents the applicants family set-up. For households with more than three children, please use </t>
    </r>
    <r>
      <rPr>
        <b/>
        <i/>
        <sz val="11"/>
        <color indexed="8"/>
        <rFont val="Calibri"/>
        <family val="2"/>
      </rPr>
      <t>G</t>
    </r>
    <r>
      <rPr>
        <i/>
        <sz val="11"/>
        <color indexed="8"/>
        <rFont val="Calibri"/>
        <family val="2"/>
      </rPr>
      <t>.</t>
    </r>
  </si>
  <si>
    <t>Input the monthly amount of any secured or unsecured loans held by the borrower(s).</t>
  </si>
  <si>
    <t>Input the monthly amount of any regular payments from bank statements for declared expenditure on the Budget Planner.</t>
  </si>
  <si>
    <t>Maintenance / CSA Payments</t>
  </si>
  <si>
    <t>Input the amount of any maintenance or CSA payments the borrower(s) has to make.</t>
  </si>
  <si>
    <t>Help - Expenditure Tab - All commitments should be entered as monthly</t>
  </si>
  <si>
    <t>Input the amount of rent or interest payments due if the new property is shared ownership or shared equity.</t>
  </si>
  <si>
    <t>Cost of Repayment Strategy (Interest Only)</t>
  </si>
  <si>
    <t>Input the monthly cost of any repayment strategy that the borrower(s) contributes towards e.g. endowment, pension plan etc…</t>
  </si>
  <si>
    <t>Input the total monthly amount of declared expenditure from the Budget Planner (FTBs may not be able to confirm this)</t>
  </si>
  <si>
    <t>Input the total monthly amount of declared expenditure from the Budget Planner. If less than the ONS figure, the ONS data will be used.</t>
  </si>
  <si>
    <t xml:space="preserve">Input the total monthly amount of declared expenditure from the Budget Planner. </t>
  </si>
  <si>
    <t>Help - Results Tab</t>
  </si>
  <si>
    <t>If Fixed, is the rate fixed for 5 years or more - Enter Y or N</t>
  </si>
  <si>
    <t>Is the loan Capital &amp; Interest or Interest Only - Input C or I</t>
  </si>
  <si>
    <t>The Society's Standard Variable Rate.</t>
  </si>
  <si>
    <t>Input the term of the mortgage.</t>
  </si>
  <si>
    <t>Fixed for 5 years or more - Enter Y or N</t>
  </si>
  <si>
    <t>Input 'Y' if the borrower's mortgage product is a fixed term of five or more years</t>
  </si>
  <si>
    <t>If the mortgage product has a fixed rate for five or more years input the rate. This rate will be used for the affordability calculations.</t>
  </si>
  <si>
    <t>Capital &amp; Interest or Interest Only - Input C or I</t>
  </si>
  <si>
    <t>This field will display the stressed monthly mortgage payment.</t>
  </si>
  <si>
    <t>Input 'C' if the mortgage is to be conducted on a capital and interest basis, or 'I' if to be conducted on an Interest Only basis.</t>
  </si>
  <si>
    <t>The stressed mortgage payment as a percentage of the net monthly income(s)</t>
  </si>
  <si>
    <t>0% - 45% = Pass</t>
  </si>
  <si>
    <t>46% - 55% = Refer, underwriter descretion or an exception may be required depending on other factors of the application</t>
  </si>
  <si>
    <t>56% - 100% = Decline</t>
  </si>
  <si>
    <t>The net monthly income(s) minus financial commitments, expenditure and the stressed monthly payment.</t>
  </si>
  <si>
    <t>If the remaining monthly income is a negative figure = DECLINE</t>
  </si>
  <si>
    <t>If the remaining monthly income is a postivie figure = PASS</t>
  </si>
  <si>
    <t>How to Calculate Part and Part Affordability</t>
  </si>
  <si>
    <t>Input income information on the 'Income' tab as with all assessments</t>
  </si>
  <si>
    <t>1)</t>
  </si>
  <si>
    <t>2)</t>
  </si>
  <si>
    <t>Input expenditure information on the 'Expenditure' tab as with all assessments</t>
  </si>
  <si>
    <t>3)</t>
  </si>
  <si>
    <t>4)</t>
  </si>
  <si>
    <t>Input the Term in Years</t>
  </si>
  <si>
    <t>5)</t>
  </si>
  <si>
    <r>
      <t xml:space="preserve">On the 'Results' screen input the Total Loan Amount that is to be assessed on a </t>
    </r>
    <r>
      <rPr>
        <b/>
        <sz val="11"/>
        <color indexed="8"/>
        <rFont val="Calibri"/>
        <family val="2"/>
      </rPr>
      <t>Capital Repayment Basis</t>
    </r>
  </si>
  <si>
    <r>
      <t>Input</t>
    </r>
    <r>
      <rPr>
        <b/>
        <sz val="11"/>
        <color indexed="8"/>
        <rFont val="Calibri"/>
        <family val="2"/>
      </rPr>
      <t xml:space="preserve"> 'C'</t>
    </r>
    <r>
      <rPr>
        <sz val="11"/>
        <color theme="1"/>
        <rFont val="Calibri"/>
        <family val="2"/>
        <scheme val="minor"/>
      </rPr>
      <t xml:space="preserve"> for Capital and Interest</t>
    </r>
  </si>
  <si>
    <t>6)</t>
  </si>
  <si>
    <t>Note down the Stressed Monthly Payment</t>
  </si>
  <si>
    <t>7)</t>
  </si>
  <si>
    <t>Note down the Remaining Monthly Income</t>
  </si>
  <si>
    <t>8)</t>
  </si>
  <si>
    <r>
      <t xml:space="preserve">Input the </t>
    </r>
    <r>
      <rPr>
        <b/>
        <sz val="11"/>
        <color indexed="8"/>
        <rFont val="Calibri"/>
        <family val="2"/>
      </rPr>
      <t>Total Loan Amount</t>
    </r>
    <r>
      <rPr>
        <sz val="11"/>
        <color theme="1"/>
        <rFont val="Calibri"/>
        <family val="2"/>
        <scheme val="minor"/>
      </rPr>
      <t xml:space="preserve"> that is to be assessed on an </t>
    </r>
    <r>
      <rPr>
        <b/>
        <sz val="11"/>
        <color indexed="8"/>
        <rFont val="Calibri"/>
        <family val="2"/>
      </rPr>
      <t>Interest Only Basis</t>
    </r>
  </si>
  <si>
    <t>9)</t>
  </si>
  <si>
    <r>
      <t xml:space="preserve">Input </t>
    </r>
    <r>
      <rPr>
        <b/>
        <sz val="11"/>
        <color indexed="8"/>
        <rFont val="Calibri"/>
        <family val="2"/>
      </rPr>
      <t>'I'</t>
    </r>
    <r>
      <rPr>
        <sz val="11"/>
        <color theme="1"/>
        <rFont val="Calibri"/>
        <family val="2"/>
        <scheme val="minor"/>
      </rPr>
      <t xml:space="preserve"> for Interest Only</t>
    </r>
  </si>
  <si>
    <t>10)</t>
  </si>
  <si>
    <t>11)</t>
  </si>
  <si>
    <t>Take away the Interest Only stressed payment from the Remaining Monthly Income previously captured</t>
  </si>
  <si>
    <t>12)</t>
  </si>
  <si>
    <t>13)</t>
  </si>
  <si>
    <t>Add the two stressed monthly payments together</t>
  </si>
  <si>
    <t xml:space="preserve">14) </t>
  </si>
  <si>
    <t>Divide the two stressed monthly payments by the total net income</t>
  </si>
  <si>
    <t>15)</t>
  </si>
  <si>
    <t>If the number is 46% - 55%, this is a refer</t>
  </si>
  <si>
    <t>If the number is greater than 56%, this is a decline</t>
  </si>
  <si>
    <t>16)</t>
  </si>
  <si>
    <t>Input the Total Loan Amount on the 'Results' screen to view the income multiples</t>
  </si>
  <si>
    <t>Input the total monthly amount of declared expenditure from the Budget Planner. May also be visible on wage slips as Childcare Voucher</t>
  </si>
  <si>
    <t>This field will calculate the applicant's declared expenditure. If less than the ONS data, the ONS expenditure figure will be used.</t>
  </si>
  <si>
    <t>Input the amount the applicants wish to borrow.</t>
  </si>
  <si>
    <t>The loan amount divided by the total gross income minus any financial commitments</t>
  </si>
  <si>
    <t>If the number is a positive, the part and part affordability has passed the Remaining Income Test</t>
  </si>
  <si>
    <t>Date</t>
  </si>
  <si>
    <t>*Use 3% of total balances unless borrower declares higher monthly payment</t>
  </si>
  <si>
    <t>Ensure not negative</t>
  </si>
  <si>
    <t>ProductRateDescription</t>
  </si>
  <si>
    <t>RateValue</t>
  </si>
  <si>
    <t>Pay_Rate</t>
  </si>
  <si>
    <t>StressedRate</t>
  </si>
  <si>
    <t>FixedProdTerm</t>
  </si>
  <si>
    <t>scheduleType</t>
  </si>
  <si>
    <t>ProdTerm</t>
  </si>
  <si>
    <t>offeringSetName</t>
  </si>
  <si>
    <t>Fixed</t>
  </si>
  <si>
    <t>Residential</t>
  </si>
  <si>
    <t>2yr</t>
  </si>
  <si>
    <t/>
  </si>
  <si>
    <t>Discounted</t>
  </si>
  <si>
    <t>Life</t>
  </si>
  <si>
    <t>SVR</t>
  </si>
  <si>
    <t>Product Type</t>
  </si>
  <si>
    <t>Fixed Rate Term</t>
  </si>
  <si>
    <t>Product Usage</t>
  </si>
  <si>
    <t>Input 3% of total credit/store card balances from the credit check. If the borrower declares a higher monthly payment, use this.</t>
  </si>
  <si>
    <t>Housing, Fuel &amp; Power and Communication</t>
  </si>
  <si>
    <t>Utilities (Housing, Fuel, Power and Communication)</t>
  </si>
  <si>
    <t>Input the total amount of the Gas, Water, Electricity and communication payments declared on the Budget Planner. If less than the ONS figure, the ONS data will be used.</t>
  </si>
  <si>
    <t>Housekeeping (Food, Drink, Alcohol and Cigarettes)</t>
  </si>
  <si>
    <t>Recreation (including Clothing, Footwear and Essential Repairs)</t>
  </si>
  <si>
    <t>Travel and Transport</t>
  </si>
  <si>
    <t>Life Assurance Premiums/Insurance Policies (including Pensions and Regular Savings)</t>
  </si>
  <si>
    <t>This is dependent on the type of product selected</t>
  </si>
  <si>
    <t>Tax Limits</t>
  </si>
  <si>
    <t xml:space="preserve">Band 1 </t>
  </si>
  <si>
    <t>Band 2</t>
  </si>
  <si>
    <t>Band 3</t>
  </si>
  <si>
    <t>Band 4</t>
  </si>
  <si>
    <t>Threshold</t>
  </si>
  <si>
    <t>NI Limits</t>
  </si>
  <si>
    <t>Band 1</t>
  </si>
  <si>
    <t>Further Advances</t>
  </si>
  <si>
    <t>1 Adult - non-retired</t>
  </si>
  <si>
    <t>2 Adults - non-retired</t>
  </si>
  <si>
    <t>1 Adult 1 Dependent</t>
  </si>
  <si>
    <t>1 Adult 2 Dependent</t>
  </si>
  <si>
    <t>2 Adults 1 Dependent</t>
  </si>
  <si>
    <t>2 Adults 2 Dependents</t>
  </si>
  <si>
    <t>2 Adults 3 Dependents</t>
  </si>
  <si>
    <t>H</t>
  </si>
  <si>
    <t>1 Adult - Retired</t>
  </si>
  <si>
    <t>I</t>
  </si>
  <si>
    <t>2 Adults - Retired</t>
  </si>
  <si>
    <t>Income Multiplier Result</t>
  </si>
  <si>
    <t xml:space="preserve">If a purchase or a remortgage with additional borrowing, enter 'Y'. If a remortgage with no additional borrowing, enter 'N'. </t>
  </si>
  <si>
    <t>Gross Annual Income (non-taxable)</t>
  </si>
  <si>
    <t>Gross Annual Income (taxable)</t>
  </si>
  <si>
    <t>Total Annual Income</t>
  </si>
  <si>
    <t>Total Monthly Income</t>
  </si>
  <si>
    <t>Total Net Monthly Income</t>
  </si>
  <si>
    <t>Input the annual gross income for the applicant that they earn in additional to their normal salary. This may be from Expat income, pension income which has been calculated net of tax already. This can be used for income that doesn’t incur UK tax and is tax exempt.</t>
  </si>
  <si>
    <r>
      <t>Input the annual gross income for the applicant. This may include overtime, commission, bonuses or benefits which can be used in line with our Lending Polic</t>
    </r>
    <r>
      <rPr>
        <i/>
        <sz val="11"/>
        <rFont val="Calibri"/>
        <family val="2"/>
        <scheme val="minor"/>
      </rPr>
      <t>y. This will be taxed using UK income tax guidelines.</t>
    </r>
  </si>
  <si>
    <t>Applicant 3</t>
  </si>
  <si>
    <t>Applicant 4</t>
  </si>
  <si>
    <t>If the number is 45% or less, this is a pass</t>
  </si>
  <si>
    <t>Y</t>
  </si>
  <si>
    <t>N</t>
  </si>
  <si>
    <t>Is the case a purchase or remortgage?</t>
  </si>
  <si>
    <t>Purchase</t>
  </si>
  <si>
    <t>Remortgage</t>
  </si>
  <si>
    <t>Please complete all fields highlighted in red</t>
  </si>
  <si>
    <t>19011 1.00% above SMI for term</t>
  </si>
  <si>
    <t>MySafeHome Exclusive</t>
  </si>
  <si>
    <t>Liquid</t>
  </si>
  <si>
    <t>19012 0.00% above SMI for Term</t>
  </si>
  <si>
    <t>Complete</t>
  </si>
  <si>
    <t>3MCE</t>
  </si>
  <si>
    <t>State Pension Age</t>
  </si>
  <si>
    <t>National Insurance Income</t>
  </si>
  <si>
    <t>Pension Income (taxable)</t>
  </si>
  <si>
    <t>10190 5.44% Two Year Fixed Residential Further Advance</t>
  </si>
  <si>
    <t>10191 6.25% Two Year Fixed Expat Residential Further Advance</t>
  </si>
  <si>
    <t>13212 3.25% Two Year Discount Residential</t>
  </si>
  <si>
    <t>13213 3.15% Two Year Discount Residential</t>
  </si>
  <si>
    <t>13214 2.85% Two Year Discount Residential</t>
  </si>
  <si>
    <t>19006F Variable for Term Further Advance</t>
  </si>
  <si>
    <t>13217 2.40% 2Yr Discount Expat Resi Large Loan</t>
  </si>
  <si>
    <t>13218 2.25% 2Yr Discount Expat Resi Large Loan</t>
  </si>
  <si>
    <t>13219 2.10% 2Yr Discount Expat Resi Large Loan</t>
  </si>
  <si>
    <t>SPF</t>
  </si>
  <si>
    <t>13221 2.79% Two Year Discount Expat Resi</t>
  </si>
  <si>
    <t>13222 2.59% Two Year Discount Expat Resi</t>
  </si>
  <si>
    <t>MAB</t>
  </si>
  <si>
    <t>Pinnacle</t>
  </si>
  <si>
    <t>Connect FA</t>
  </si>
  <si>
    <t>10199 5.70% Residential Five Year Fixed (31/10/2030)</t>
  </si>
  <si>
    <t>5yr</t>
  </si>
  <si>
    <t>10201 6.00% Resi 5 Yr Fix (until 31/10/2030)</t>
  </si>
  <si>
    <t>10202 6.50% Expat Residential 5 Yr Fixed (31/10/2030)</t>
  </si>
  <si>
    <t>13223 2.75% 2 Year Discount Interest Only</t>
  </si>
  <si>
    <t>13224 2.09% 2 Year Discount Large Loan</t>
  </si>
  <si>
    <t>13227 1.99% 2 Year Discount Large Loan</t>
  </si>
  <si>
    <t>13228 1.89% 2 Year Discount Large Loan</t>
  </si>
  <si>
    <t>13230 2.29% Two Year Discount Expat Resi</t>
  </si>
  <si>
    <t>13231 2.09% Expat Resi Two Year Discount</t>
  </si>
  <si>
    <t>13232 1.69% Expat Residential Two Year Discount</t>
  </si>
  <si>
    <t>SBG</t>
  </si>
  <si>
    <t>10203 5.70% Interest Only Two Year Fixed</t>
  </si>
  <si>
    <t>10204 5.40% Two Year Fixed</t>
  </si>
  <si>
    <t>10205 6.2% Expat Residential Two Year Fixed</t>
  </si>
  <si>
    <t>10217 5.45% 2 Yr Fxd Resi Skilled Worker Visa</t>
  </si>
  <si>
    <t>10218 5.45% Fxd until 31/10/2030 Resi Skilled Worker Visa</t>
  </si>
  <si>
    <t>10219 5.70% 2 Yr Fxd Resi Skilled Worker Visa</t>
  </si>
  <si>
    <t>10220 5.70% Fxd until 31/10/2030 Resi Skilled Worker Visa</t>
  </si>
  <si>
    <t>10221 5.50% Residential Two Year Fixed</t>
  </si>
  <si>
    <t>10222 4.99% Residential 5 Year Fixed until 31/10/2030</t>
  </si>
  <si>
    <t>13245 2.69% 2 Yr Dsc Resi Skilled Worker Visa</t>
  </si>
  <si>
    <t>13246 2.54% 2 Yr Dsc Resi Skilled Worker Visa</t>
  </si>
  <si>
    <t>External Version 147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</si>
</sst>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Red]\-&quot;£&quot;#,##0"/>
    <numFmt numFmtId="165" formatCode="_-&quot;£&quot;* #,##0.00_-;\-&quot;£&quot;* #,##0.00_-;_-&quot;£&quot;* &quot;-&quot;??_-;_-@_-"/>
    <numFmt numFmtId="166" formatCode="_-* #,##0.00_-;\-* #,##0.00_-;_-* &quot;-&quot;??_-;_-@_-"/>
    <numFmt numFmtId="167" formatCode="_-&quot;£&quot;* #,##0_-;\-&quot;£&quot;* #,##0_-;_-&quot;£&quot;* &quot;-&quot;??_-;_-@_-"/>
    <numFmt numFmtId="168" formatCode="&quot;£&quot;#,##0.00"/>
    <numFmt numFmtId="169" formatCode="[$-F800]dddd\,\ mmmm\ dd\,\ yyyy"/>
  </numFmts>
  <fonts count="45" x14ac:knownFonts="1">
    <font>
      <sz val="11"/>
      <color theme="1"/>
      <name val="Calibri"/>
      <family val="2"/>
      <scheme val="minor"/>
    </font>
    <font>
      <b/>
      <sz val="11"/>
      <color indexed="8"/>
      <name val="Calibri"/>
      <family val="2"/>
    </font>
    <font>
      <b/>
      <sz val="10"/>
      <name val="Arial"/>
      <family val="2"/>
    </font>
    <font>
      <sz val="10"/>
      <name val="Arial"/>
      <family val="2"/>
    </font>
    <font>
      <sz val="11"/>
      <name val="Arial"/>
      <family val="2"/>
    </font>
    <font>
      <sz val="9"/>
      <name val="Arial"/>
      <family val="2"/>
    </font>
    <font>
      <sz val="12"/>
      <name val="Century Gothic"/>
      <family val="2"/>
    </font>
    <font>
      <sz val="10"/>
      <color indexed="8"/>
      <name val="Arial"/>
      <family val="2"/>
    </font>
    <font>
      <sz val="10"/>
      <name val="Century Gothic"/>
      <family val="2"/>
    </font>
    <font>
      <i/>
      <sz val="11"/>
      <color indexed="8"/>
      <name val="Calibri"/>
      <family val="2"/>
    </font>
    <font>
      <b/>
      <i/>
      <sz val="11"/>
      <color indexed="8"/>
      <name val="Calibri"/>
      <family val="2"/>
    </font>
    <font>
      <sz val="11"/>
      <color theme="1"/>
      <name val="Calibri"/>
      <family val="2"/>
      <scheme val="minor"/>
    </font>
    <font>
      <b/>
      <sz val="14"/>
      <color rgb="FF0070C0"/>
      <name val="Calibri"/>
      <family val="2"/>
      <scheme val="minor"/>
    </font>
    <font>
      <sz val="10"/>
      <name val="Calibri"/>
      <family val="2"/>
      <scheme val="minor"/>
    </font>
    <font>
      <b/>
      <sz val="10"/>
      <name val="Calibri"/>
      <family val="2"/>
      <scheme val="minor"/>
    </font>
    <font>
      <b/>
      <sz val="10"/>
      <color theme="1"/>
      <name val="Calibri"/>
      <family val="2"/>
      <scheme val="minor"/>
    </font>
    <font>
      <b/>
      <sz val="11"/>
      <color rgb="FF0070C0"/>
      <name val="Calibri"/>
      <family val="2"/>
      <scheme val="minor"/>
    </font>
    <font>
      <b/>
      <sz val="11"/>
      <name val="Calibri"/>
      <family val="2"/>
      <scheme val="minor"/>
    </font>
    <font>
      <b/>
      <sz val="12"/>
      <color rgb="FF0070C0"/>
      <name val="Calibri"/>
      <family val="2"/>
      <scheme val="minor"/>
    </font>
    <font>
      <sz val="10"/>
      <color theme="1"/>
      <name val="Calibri"/>
      <family val="2"/>
      <scheme val="minor"/>
    </font>
    <font>
      <b/>
      <sz val="11"/>
      <color theme="1"/>
      <name val="Calibri"/>
      <family val="2"/>
      <scheme val="minor"/>
    </font>
    <font>
      <b/>
      <sz val="10"/>
      <color rgb="FFFF0000"/>
      <name val="Calibri"/>
      <family val="2"/>
      <scheme val="minor"/>
    </font>
    <font>
      <b/>
      <sz val="10"/>
      <color rgb="FF0070C0"/>
      <name val="Calibri"/>
      <family val="2"/>
      <scheme val="minor"/>
    </font>
    <font>
      <sz val="9"/>
      <name val="Calibri"/>
      <family val="2"/>
      <scheme val="minor"/>
    </font>
    <font>
      <b/>
      <sz val="10"/>
      <color rgb="FF002060"/>
      <name val="Calibri"/>
      <family val="2"/>
      <scheme val="minor"/>
    </font>
    <font>
      <b/>
      <sz val="12"/>
      <color rgb="FF0070C0"/>
      <name val="Arial"/>
      <family val="2"/>
    </font>
    <font>
      <b/>
      <sz val="14"/>
      <color theme="3" tint="0.39997558519241921"/>
      <name val="Calibri"/>
      <family val="2"/>
      <scheme val="minor"/>
    </font>
    <font>
      <i/>
      <sz val="11"/>
      <color theme="1"/>
      <name val="Calibri"/>
      <family val="2"/>
      <scheme val="minor"/>
    </font>
    <font>
      <b/>
      <sz val="12"/>
      <name val="Calibri"/>
      <family val="2"/>
      <scheme val="minor"/>
    </font>
    <font>
      <b/>
      <u/>
      <sz val="11"/>
      <color theme="1"/>
      <name val="Calibri"/>
      <family val="2"/>
      <scheme val="minor"/>
    </font>
    <font>
      <sz val="9"/>
      <color theme="1"/>
      <name val="Calibri"/>
      <family val="2"/>
      <scheme val="minor"/>
    </font>
    <font>
      <b/>
      <sz val="12"/>
      <color theme="1"/>
      <name val="Calibri"/>
      <family val="2"/>
      <scheme val="minor"/>
    </font>
    <font>
      <sz val="11"/>
      <color theme="1"/>
      <name val="Calibri"/>
      <family val="2"/>
    </font>
    <font>
      <b/>
      <sz val="11"/>
      <name val="Calibri"/>
      <family val="2"/>
    </font>
    <font>
      <b/>
      <sz val="12"/>
      <name val="Calibri"/>
      <family val="2"/>
    </font>
    <font>
      <i/>
      <sz val="11"/>
      <color rgb="FF0070C0"/>
      <name val="Calibri"/>
      <family val="2"/>
    </font>
    <font>
      <sz val="11"/>
      <color rgb="FF0070C0"/>
      <name val="Calibri"/>
      <family val="2"/>
    </font>
    <font>
      <sz val="11"/>
      <color rgb="FFFF0000"/>
      <name val="Calibri"/>
      <family val="2"/>
    </font>
    <font>
      <sz val="11"/>
      <name val="Calibri"/>
      <family val="2"/>
    </font>
    <font>
      <b/>
      <sz val="11"/>
      <color theme="1"/>
      <name val="Calibri"/>
      <family val="2"/>
    </font>
    <font>
      <b/>
      <sz val="12"/>
      <color theme="1"/>
      <name val="Calibri"/>
      <family val="2"/>
    </font>
    <font>
      <sz val="11"/>
      <color rgb="FF000000"/>
      <name val="Calibri"/>
      <family val="2"/>
    </font>
    <font>
      <i/>
      <sz val="11"/>
      <color rgb="FF000000"/>
      <name val="Calibri"/>
      <family val="2"/>
      <scheme val="minor"/>
    </font>
    <font>
      <i/>
      <sz val="11"/>
      <name val="Calibri"/>
      <family val="2"/>
      <scheme val="minor"/>
    </font>
    <font>
      <sz val="12"/>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3" tint="0.59996337778862885"/>
        <bgColor indexed="64"/>
      </patternFill>
    </fill>
    <fill>
      <patternFill patternType="solid">
        <fgColor theme="0"/>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s>
  <cellStyleXfs count="5">
    <xf numFmtId="0" fontId="0" fillId="0" borderId="0"/>
    <xf numFmtId="166" fontId="11" fillId="0" borderId="0" applyFont="0" applyFill="0" applyBorder="0" applyAlignment="0" applyProtection="0"/>
    <xf numFmtId="165" fontId="11" fillId="0" borderId="0" applyFont="0" applyFill="0" applyBorder="0" applyAlignment="0" applyProtection="0"/>
    <xf numFmtId="0" fontId="7" fillId="0" borderId="0"/>
    <xf numFmtId="9" fontId="11" fillId="0" borderId="0" applyFont="0" applyFill="0" applyBorder="0" applyAlignment="0" applyProtection="0"/>
  </cellStyleXfs>
  <cellXfs count="144">
    <xf numFmtId="0" fontId="0" fillId="0" borderId="0" xfId="0"/>
    <xf numFmtId="0" fontId="0" fillId="0" borderId="0" xfId="0" applyProtection="1">
      <protection locked="0"/>
    </xf>
    <xf numFmtId="0" fontId="16" fillId="0" borderId="0" xfId="0" applyFont="1" applyProtection="1">
      <protection locked="0"/>
    </xf>
    <xf numFmtId="1" fontId="0" fillId="3" borderId="1" xfId="0" applyNumberFormat="1" applyFill="1" applyBorder="1" applyAlignment="1">
      <alignment horizontal="center"/>
    </xf>
    <xf numFmtId="165" fontId="18" fillId="3" borderId="1" xfId="0" applyNumberFormat="1" applyFont="1" applyFill="1" applyBorder="1" applyAlignment="1">
      <alignment horizontal="center"/>
    </xf>
    <xf numFmtId="10" fontId="5" fillId="0" borderId="0" xfId="4" applyNumberFormat="1" applyFont="1" applyFill="1" applyBorder="1" applyAlignment="1" applyProtection="1">
      <alignment horizontal="center"/>
    </xf>
    <xf numFmtId="1" fontId="5" fillId="0" borderId="0" xfId="0" applyNumberFormat="1" applyFont="1" applyAlignment="1">
      <alignment horizontal="center"/>
    </xf>
    <xf numFmtId="1" fontId="20" fillId="3" borderId="2" xfId="0" applyNumberFormat="1" applyFont="1" applyFill="1" applyBorder="1" applyAlignment="1">
      <alignment horizontal="center"/>
    </xf>
    <xf numFmtId="0" fontId="20" fillId="0" borderId="0" xfId="0" applyFont="1"/>
    <xf numFmtId="1" fontId="19" fillId="0" borderId="2" xfId="0" applyNumberFormat="1" applyFont="1" applyBorder="1" applyAlignment="1" applyProtection="1">
      <alignment horizontal="center"/>
      <protection locked="0"/>
    </xf>
    <xf numFmtId="165" fontId="21" fillId="3" borderId="2" xfId="2" applyFont="1" applyFill="1" applyBorder="1" applyAlignment="1" applyProtection="1">
      <alignment horizontal="center"/>
    </xf>
    <xf numFmtId="165" fontId="21" fillId="3" borderId="2" xfId="2" applyFont="1" applyFill="1" applyBorder="1" applyProtection="1"/>
    <xf numFmtId="165" fontId="21" fillId="3" borderId="2" xfId="0" applyNumberFormat="1" applyFont="1" applyFill="1" applyBorder="1"/>
    <xf numFmtId="165" fontId="13" fillId="0" borderId="0" xfId="2" applyFont="1" applyFill="1" applyBorder="1" applyProtection="1"/>
    <xf numFmtId="0" fontId="22" fillId="0" borderId="0" xfId="0" applyFont="1"/>
    <xf numFmtId="1" fontId="23" fillId="0" borderId="0" xfId="0" applyNumberFormat="1" applyFont="1" applyAlignment="1">
      <alignment horizontal="center"/>
    </xf>
    <xf numFmtId="1" fontId="13" fillId="0" borderId="2" xfId="0" applyNumberFormat="1" applyFont="1" applyBorder="1" applyAlignment="1" applyProtection="1">
      <alignment horizontal="center"/>
      <protection locked="0"/>
    </xf>
    <xf numFmtId="1" fontId="15" fillId="3" borderId="2" xfId="0" applyNumberFormat="1" applyFont="1" applyFill="1" applyBorder="1" applyAlignment="1">
      <alignment horizontal="center"/>
    </xf>
    <xf numFmtId="1" fontId="24" fillId="3" borderId="1" xfId="0" applyNumberFormat="1" applyFont="1" applyFill="1" applyBorder="1" applyAlignment="1">
      <alignment horizontal="center"/>
    </xf>
    <xf numFmtId="1" fontId="19" fillId="0" borderId="3" xfId="0" applyNumberFormat="1" applyFont="1" applyBorder="1" applyAlignment="1" applyProtection="1">
      <alignment horizontal="center"/>
      <protection locked="0"/>
    </xf>
    <xf numFmtId="1" fontId="13" fillId="0" borderId="3" xfId="0" applyNumberFormat="1" applyFont="1" applyBorder="1" applyAlignment="1" applyProtection="1">
      <alignment horizontal="center"/>
      <protection locked="0"/>
    </xf>
    <xf numFmtId="1" fontId="20" fillId="3" borderId="3" xfId="0" applyNumberFormat="1" applyFont="1" applyFill="1" applyBorder="1" applyAlignment="1">
      <alignment horizontal="center"/>
    </xf>
    <xf numFmtId="1" fontId="25" fillId="3" borderId="1" xfId="0" applyNumberFormat="1" applyFont="1" applyFill="1" applyBorder="1" applyAlignment="1">
      <alignment horizontal="center"/>
    </xf>
    <xf numFmtId="165" fontId="13" fillId="0" borderId="2" xfId="2" applyFont="1" applyFill="1" applyBorder="1" applyAlignment="1" applyProtection="1">
      <alignment horizontal="center" vertical="center"/>
      <protection locked="0"/>
    </xf>
    <xf numFmtId="165" fontId="13" fillId="0" borderId="2" xfId="2" applyFont="1" applyFill="1" applyBorder="1" applyAlignment="1" applyProtection="1">
      <alignment horizontal="center"/>
      <protection locked="0"/>
    </xf>
    <xf numFmtId="165" fontId="14" fillId="3" borderId="1" xfId="2" applyFont="1" applyFill="1" applyBorder="1" applyAlignment="1" applyProtection="1">
      <alignment horizontal="center"/>
    </xf>
    <xf numFmtId="1" fontId="15" fillId="3" borderId="3" xfId="0" applyNumberFormat="1" applyFont="1" applyFill="1" applyBorder="1" applyAlignment="1">
      <alignment horizontal="center"/>
    </xf>
    <xf numFmtId="0" fontId="17" fillId="0" borderId="1" xfId="0" applyFont="1" applyBorder="1" applyAlignment="1" applyProtection="1">
      <alignment horizontal="center"/>
      <protection locked="0"/>
    </xf>
    <xf numFmtId="9" fontId="11" fillId="0" borderId="0" xfId="4" applyFont="1"/>
    <xf numFmtId="0" fontId="19" fillId="0" borderId="0" xfId="0" applyFont="1"/>
    <xf numFmtId="1" fontId="24" fillId="0" borderId="0" xfId="0" applyNumberFormat="1" applyFont="1" applyAlignment="1">
      <alignment horizontal="center"/>
    </xf>
    <xf numFmtId="0" fontId="20" fillId="0" borderId="1" xfId="0" applyFont="1" applyBorder="1" applyAlignment="1">
      <alignment horizontal="center"/>
    </xf>
    <xf numFmtId="9" fontId="17" fillId="4" borderId="1" xfId="4" applyFont="1" applyFill="1" applyBorder="1" applyAlignment="1" applyProtection="1">
      <alignment horizontal="center"/>
    </xf>
    <xf numFmtId="2" fontId="17" fillId="4" borderId="1" xfId="1" applyNumberFormat="1" applyFont="1" applyFill="1" applyBorder="1" applyAlignment="1" applyProtection="1">
      <alignment horizontal="center" vertical="center"/>
    </xf>
    <xf numFmtId="168" fontId="17" fillId="4" borderId="1" xfId="0" applyNumberFormat="1" applyFont="1" applyFill="1" applyBorder="1" applyAlignment="1">
      <alignment horizontal="center" vertical="center"/>
    </xf>
    <xf numFmtId="0" fontId="26" fillId="0" borderId="0" xfId="0" applyFont="1"/>
    <xf numFmtId="0" fontId="0" fillId="0" borderId="0" xfId="0"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11" fillId="0" borderId="1" xfId="4" applyFont="1" applyBorder="1" applyAlignment="1" applyProtection="1">
      <alignment horizontal="center"/>
    </xf>
    <xf numFmtId="2" fontId="0" fillId="0" borderId="1" xfId="0" applyNumberFormat="1" applyBorder="1" applyAlignment="1" applyProtection="1">
      <alignment horizontal="center" vertical="center"/>
      <protection locked="0"/>
    </xf>
    <xf numFmtId="2"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13" fillId="0" borderId="0" xfId="0" applyFont="1" applyAlignment="1" applyProtection="1">
      <alignment horizontal="center"/>
      <protection locked="0"/>
    </xf>
    <xf numFmtId="168" fontId="20" fillId="4" borderId="1" xfId="2" applyNumberFormat="1" applyFont="1" applyFill="1" applyBorder="1" applyAlignment="1" applyProtection="1">
      <alignment horizontal="center" vertical="center"/>
    </xf>
    <xf numFmtId="0" fontId="3" fillId="0" borderId="0" xfId="0" applyFont="1"/>
    <xf numFmtId="0" fontId="3" fillId="0" borderId="0" xfId="0" applyFont="1" applyAlignment="1">
      <alignment horizontal="center"/>
    </xf>
    <xf numFmtId="165" fontId="3" fillId="0" borderId="0" xfId="2" applyFont="1" applyFill="1" applyBorder="1" applyAlignment="1" applyProtection="1">
      <alignment horizontal="center"/>
    </xf>
    <xf numFmtId="167" fontId="3" fillId="0" borderId="0" xfId="2" applyNumberFormat="1" applyFont="1" applyFill="1" applyBorder="1" applyProtection="1"/>
    <xf numFmtId="165" fontId="3" fillId="0" borderId="0" xfId="2" applyFont="1" applyFill="1" applyBorder="1" applyProtection="1"/>
    <xf numFmtId="0" fontId="2" fillId="0" borderId="0" xfId="0" applyFont="1"/>
    <xf numFmtId="4" fontId="14" fillId="0" borderId="10" xfId="0" applyNumberFormat="1" applyFont="1" applyBorder="1" applyAlignment="1" applyProtection="1">
      <alignment horizontal="right" vertical="center" indent="1"/>
      <protection locked="0"/>
    </xf>
    <xf numFmtId="3" fontId="14" fillId="0" borderId="11" xfId="0" applyNumberFormat="1" applyFont="1" applyBorder="1" applyAlignment="1" applyProtection="1">
      <alignment horizontal="right" vertical="center" indent="1"/>
      <protection locked="0"/>
    </xf>
    <xf numFmtId="166" fontId="14" fillId="4" borderId="11" xfId="1" applyFont="1" applyFill="1" applyBorder="1" applyAlignment="1" applyProtection="1">
      <alignment horizontal="center" vertical="center"/>
    </xf>
    <xf numFmtId="0" fontId="20" fillId="0" borderId="1" xfId="0" applyFont="1" applyBorder="1" applyAlignment="1">
      <alignment horizontal="center" vertical="center"/>
    </xf>
    <xf numFmtId="0" fontId="32" fillId="0" borderId="0" xfId="0" applyFont="1"/>
    <xf numFmtId="0" fontId="33" fillId="0" borderId="0" xfId="0" applyFont="1" applyAlignment="1">
      <alignment horizontal="center"/>
    </xf>
    <xf numFmtId="0" fontId="34" fillId="0" borderId="0" xfId="0" applyFont="1"/>
    <xf numFmtId="2" fontId="32" fillId="0" borderId="0" xfId="0" applyNumberFormat="1" applyFont="1"/>
    <xf numFmtId="0" fontId="35" fillId="0" borderId="0" xfId="0" applyFont="1"/>
    <xf numFmtId="2" fontId="36" fillId="0" borderId="0" xfId="0" applyNumberFormat="1" applyFont="1"/>
    <xf numFmtId="0" fontId="36" fillId="0" borderId="0" xfId="0" applyFont="1"/>
    <xf numFmtId="2" fontId="37" fillId="0" borderId="0" xfId="0" applyNumberFormat="1" applyFont="1"/>
    <xf numFmtId="0" fontId="38" fillId="0" borderId="0" xfId="0" applyFont="1"/>
    <xf numFmtId="0" fontId="33" fillId="0" borderId="0" xfId="0" applyFont="1"/>
    <xf numFmtId="2" fontId="33" fillId="0" borderId="0" xfId="0" applyNumberFormat="1" applyFont="1"/>
    <xf numFmtId="0" fontId="39" fillId="0" borderId="0" xfId="0" applyFont="1"/>
    <xf numFmtId="166" fontId="14" fillId="4" borderId="11" xfId="1" applyFont="1" applyFill="1" applyBorder="1" applyAlignment="1" applyProtection="1">
      <alignment horizontal="right" vertical="center"/>
    </xf>
    <xf numFmtId="0" fontId="0" fillId="0" borderId="0" xfId="0" applyProtection="1">
      <protection hidden="1"/>
    </xf>
    <xf numFmtId="0" fontId="0" fillId="0" borderId="0" xfId="0" applyAlignment="1" applyProtection="1">
      <alignment wrapText="1"/>
      <protection hidden="1"/>
    </xf>
    <xf numFmtId="0" fontId="20" fillId="0" borderId="0" xfId="0" applyFont="1" applyAlignment="1" applyProtection="1">
      <alignment vertical="center"/>
      <protection hidden="1"/>
    </xf>
    <xf numFmtId="0" fontId="0" fillId="0" borderId="0" xfId="0" applyAlignment="1" applyProtection="1">
      <alignment horizontal="center" wrapText="1"/>
      <protection hidden="1"/>
    </xf>
    <xf numFmtId="165" fontId="3" fillId="0" borderId="0" xfId="0" applyNumberFormat="1" applyFont="1"/>
    <xf numFmtId="168" fontId="0" fillId="0" borderId="0" xfId="0" applyNumberFormat="1"/>
    <xf numFmtId="9" fontId="0" fillId="0" borderId="0" xfId="0" applyNumberFormat="1"/>
    <xf numFmtId="164" fontId="0" fillId="0" borderId="0" xfId="0" applyNumberFormat="1"/>
    <xf numFmtId="165" fontId="0" fillId="0" borderId="0" xfId="0" applyNumberFormat="1"/>
    <xf numFmtId="0" fontId="19" fillId="0" borderId="0" xfId="0" applyFont="1" applyAlignment="1" applyProtection="1">
      <alignment horizontal="center"/>
      <protection locked="0"/>
    </xf>
    <xf numFmtId="0" fontId="31" fillId="3" borderId="4" xfId="0" applyFont="1" applyFill="1" applyBorder="1"/>
    <xf numFmtId="0" fontId="12" fillId="0" borderId="0" xfId="0" applyFont="1"/>
    <xf numFmtId="0" fontId="20" fillId="0" borderId="0" xfId="0" applyFont="1" applyAlignment="1">
      <alignment horizontal="center"/>
    </xf>
    <xf numFmtId="0" fontId="17" fillId="0" borderId="0" xfId="0" applyFont="1" applyAlignment="1">
      <alignment horizontal="center" vertical="center"/>
    </xf>
    <xf numFmtId="0" fontId="29" fillId="0" borderId="0" xfId="0" applyFont="1"/>
    <xf numFmtId="4" fontId="2" fillId="0" borderId="0" xfId="0" applyNumberFormat="1" applyFont="1"/>
    <xf numFmtId="0" fontId="17" fillId="0" borderId="0" xfId="0" applyFont="1"/>
    <xf numFmtId="0" fontId="30" fillId="0" borderId="0" xfId="0" applyFont="1" applyAlignment="1">
      <alignment vertical="top"/>
    </xf>
    <xf numFmtId="0" fontId="17" fillId="0" borderId="0" xfId="0" applyFont="1" applyAlignment="1">
      <alignment horizontal="center"/>
    </xf>
    <xf numFmtId="0" fontId="20" fillId="0" borderId="0" xfId="0" applyFont="1" applyAlignment="1">
      <alignment vertical="center"/>
    </xf>
    <xf numFmtId="0" fontId="0" fillId="0" borderId="0" xfId="0" applyAlignment="1">
      <alignment wrapText="1"/>
    </xf>
    <xf numFmtId="10" fontId="3" fillId="0" borderId="0" xfId="4" applyNumberFormat="1" applyFont="1" applyFill="1" applyBorder="1" applyAlignment="1" applyProtection="1">
      <alignment horizontal="center"/>
    </xf>
    <xf numFmtId="0" fontId="13" fillId="0" borderId="0" xfId="0" applyFont="1"/>
    <xf numFmtId="0" fontId="6" fillId="0" borderId="0" xfId="0" applyFont="1" applyAlignment="1">
      <alignment horizontal="center"/>
    </xf>
    <xf numFmtId="1" fontId="3" fillId="0" borderId="0" xfId="0" applyNumberFormat="1" applyFont="1" applyAlignment="1">
      <alignment horizontal="center"/>
    </xf>
    <xf numFmtId="1" fontId="13" fillId="0" borderId="0" xfId="0" applyNumberFormat="1" applyFont="1" applyAlignment="1">
      <alignment horizontal="center"/>
    </xf>
    <xf numFmtId="167" fontId="11" fillId="0" borderId="0" xfId="2" applyNumberFormat="1" applyFont="1" applyFill="1" applyBorder="1" applyProtection="1"/>
    <xf numFmtId="0" fontId="16" fillId="0" borderId="0" xfId="0" applyFont="1"/>
    <xf numFmtId="1" fontId="3" fillId="0" borderId="0" xfId="0" applyNumberFormat="1" applyFont="1" applyAlignment="1">
      <alignment horizontal="left"/>
    </xf>
    <xf numFmtId="0" fontId="18" fillId="0" borderId="0" xfId="0" applyFont="1"/>
    <xf numFmtId="0" fontId="7" fillId="0" borderId="0" xfId="0" applyFont="1" applyAlignment="1">
      <alignment horizontal="center"/>
    </xf>
    <xf numFmtId="0" fontId="7" fillId="0" borderId="0" xfId="3" applyAlignment="1">
      <alignment horizontal="center" wrapText="1"/>
    </xf>
    <xf numFmtId="0" fontId="8" fillId="0" borderId="0" xfId="0" applyFont="1"/>
    <xf numFmtId="165" fontId="13" fillId="0" borderId="0" xfId="2" applyFont="1" applyFill="1" applyBorder="1" applyAlignment="1" applyProtection="1">
      <alignment horizontal="center"/>
    </xf>
    <xf numFmtId="165" fontId="13" fillId="0" borderId="0" xfId="2" quotePrefix="1" applyFont="1" applyFill="1" applyBorder="1" applyAlignment="1" applyProtection="1">
      <alignment horizontal="center"/>
    </xf>
    <xf numFmtId="0" fontId="3" fillId="0" borderId="0" xfId="0" quotePrefix="1" applyFont="1" applyAlignment="1">
      <alignment horizontal="center"/>
    </xf>
    <xf numFmtId="165" fontId="13" fillId="0" borderId="0" xfId="2" applyFont="1" applyFill="1" applyAlignment="1" applyProtection="1">
      <alignment horizontal="center"/>
    </xf>
    <xf numFmtId="0" fontId="5" fillId="0" borderId="0" xfId="0" applyFont="1"/>
    <xf numFmtId="0" fontId="25" fillId="0" borderId="0" xfId="0" applyFont="1"/>
    <xf numFmtId="0" fontId="14" fillId="0" borderId="0" xfId="0" applyFont="1"/>
    <xf numFmtId="0" fontId="0" fillId="0" borderId="0" xfId="0" applyAlignment="1">
      <alignment horizontal="center" wrapText="1"/>
    </xf>
    <xf numFmtId="0" fontId="28" fillId="0" borderId="0" xfId="0" applyFont="1"/>
    <xf numFmtId="4" fontId="17" fillId="0" borderId="0" xfId="0" applyNumberFormat="1" applyFont="1"/>
    <xf numFmtId="0" fontId="4" fillId="0" borderId="0" xfId="0" applyFont="1"/>
    <xf numFmtId="0" fontId="20" fillId="0" borderId="0" xfId="0" applyFont="1" applyProtection="1">
      <protection hidden="1"/>
    </xf>
    <xf numFmtId="0" fontId="40" fillId="0" borderId="0" xfId="0" applyFont="1"/>
    <xf numFmtId="0" fontId="42" fillId="0" borderId="0" xfId="0" applyFont="1"/>
    <xf numFmtId="0" fontId="27" fillId="0" borderId="0" xfId="0" applyFont="1"/>
    <xf numFmtId="4" fontId="17" fillId="2" borderId="0" xfId="0" applyNumberFormat="1" applyFont="1" applyFill="1"/>
    <xf numFmtId="4" fontId="14" fillId="2" borderId="0" xfId="0" applyNumberFormat="1" applyFont="1" applyFill="1"/>
    <xf numFmtId="0" fontId="20" fillId="0" borderId="0" xfId="0" applyFont="1" applyAlignment="1">
      <alignment horizontal="center" vertical="center"/>
    </xf>
    <xf numFmtId="9" fontId="0" fillId="0" borderId="0" xfId="4" applyFont="1"/>
    <xf numFmtId="0" fontId="0" fillId="0" borderId="0" xfId="0" applyAlignment="1">
      <alignment horizontal="center" vertical="center"/>
    </xf>
    <xf numFmtId="4" fontId="17" fillId="0" borderId="0" xfId="0" applyNumberFormat="1" applyFont="1" applyAlignment="1">
      <alignment horizontal="left" wrapText="1"/>
    </xf>
    <xf numFmtId="166" fontId="14" fillId="6" borderId="12" xfId="1" applyFont="1" applyFill="1" applyBorder="1" applyAlignment="1" applyProtection="1">
      <alignment horizontal="right" vertical="center"/>
      <protection locked="0"/>
    </xf>
    <xf numFmtId="166" fontId="14" fillId="6" borderId="13" xfId="1" applyFont="1" applyFill="1" applyBorder="1" applyAlignment="1" applyProtection="1">
      <alignment horizontal="right" vertical="center"/>
      <protection locked="0"/>
    </xf>
    <xf numFmtId="10" fontId="0" fillId="0" borderId="0" xfId="0" applyNumberFormat="1"/>
    <xf numFmtId="165" fontId="13" fillId="0" borderId="0" xfId="2" applyFont="1" applyFill="1" applyBorder="1" applyAlignment="1" applyProtection="1">
      <alignment horizontal="center" vertical="center"/>
      <protection locked="0"/>
    </xf>
    <xf numFmtId="165" fontId="13" fillId="0" borderId="0" xfId="2" applyFont="1" applyFill="1" applyBorder="1" applyAlignment="1" applyProtection="1">
      <alignment horizontal="center"/>
      <protection locked="0"/>
    </xf>
    <xf numFmtId="169" fontId="31" fillId="3" borderId="5" xfId="0" applyNumberFormat="1" applyFont="1" applyFill="1" applyBorder="1" applyAlignment="1">
      <alignment horizontal="center"/>
    </xf>
    <xf numFmtId="169" fontId="31" fillId="3" borderId="6" xfId="0" applyNumberFormat="1" applyFont="1" applyFill="1" applyBorder="1" applyAlignment="1">
      <alignment horizontal="center"/>
    </xf>
    <xf numFmtId="0" fontId="13" fillId="0" borderId="0" xfId="0" applyFont="1" applyAlignment="1">
      <alignment horizontal="center"/>
    </xf>
    <xf numFmtId="0" fontId="0" fillId="0" borderId="0" xfId="0"/>
    <xf numFmtId="0" fontId="19" fillId="0" borderId="0" xfId="0" applyFont="1" applyAlignment="1">
      <alignment horizontal="center"/>
    </xf>
    <xf numFmtId="0" fontId="17" fillId="0" borderId="4" xfId="0" applyFont="1" applyBorder="1" applyAlignment="1">
      <alignment horizontal="center" wrapText="1"/>
    </xf>
    <xf numFmtId="0" fontId="17" fillId="0" borderId="5" xfId="0" applyFont="1" applyBorder="1" applyAlignment="1">
      <alignment horizontal="center" wrapText="1"/>
    </xf>
    <xf numFmtId="0" fontId="17" fillId="0" borderId="6" xfId="0" applyFont="1" applyBorder="1" applyAlignment="1">
      <alignment horizontal="center" wrapText="1"/>
    </xf>
    <xf numFmtId="0" fontId="44" fillId="0" borderId="0" xfId="0" applyFont="1" applyAlignment="1">
      <alignment horizontal="left"/>
    </xf>
    <xf numFmtId="0" fontId="31" fillId="0" borderId="0" xfId="0" applyFont="1" applyAlignment="1">
      <alignment horizontal="left"/>
    </xf>
    <xf numFmtId="0" fontId="0" fillId="0" borderId="0" xfId="0" applyAlignment="1">
      <alignment horizontal="center" wrapText="1"/>
    </xf>
    <xf numFmtId="0" fontId="20" fillId="0" borderId="0" xfId="0" applyFont="1" applyAlignment="1">
      <alignment horizontal="center" vertical="center"/>
    </xf>
    <xf numFmtId="0" fontId="20" fillId="5" borderId="7" xfId="0" applyFont="1" applyFill="1" applyBorder="1" applyAlignment="1" applyProtection="1">
      <alignment wrapText="1"/>
      <protection locked="0"/>
    </xf>
    <xf numFmtId="0" fontId="20" fillId="5" borderId="8" xfId="0" applyFont="1" applyFill="1" applyBorder="1" applyAlignment="1" applyProtection="1">
      <alignment wrapText="1"/>
      <protection locked="0"/>
    </xf>
    <xf numFmtId="0" fontId="20" fillId="5" borderId="9" xfId="0" applyFont="1" applyFill="1" applyBorder="1" applyAlignment="1" applyProtection="1">
      <alignment wrapText="1"/>
      <protection locked="0"/>
    </xf>
    <xf numFmtId="4" fontId="17" fillId="0" borderId="0" xfId="0" applyNumberFormat="1" applyFont="1" applyAlignment="1">
      <alignment horizontal="left" wrapText="1"/>
    </xf>
    <xf numFmtId="0" fontId="43" fillId="0" borderId="0" xfId="0" applyFont="1" applyAlignment="1">
      <alignment horizontal="left" wrapText="1"/>
    </xf>
  </cellXfs>
  <cellStyles count="5">
    <cellStyle name="Comma" xfId="1" builtinId="3"/>
    <cellStyle name="Currency" xfId="2" builtinId="4"/>
    <cellStyle name="Normal" xfId="0" builtinId="0"/>
    <cellStyle name="Normal_Sheet1" xfId="3" xr:uid="{00000000-0005-0000-0000-000003000000}"/>
    <cellStyle name="Per cent" xfId="4" builtinId="5"/>
  </cellStyles>
  <dxfs count="18">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FF0000"/>
        </patternFill>
      </fill>
    </dxf>
    <dxf>
      <fill>
        <patternFill>
          <bgColor rgb="FFFFC000"/>
        </patternFill>
      </fill>
    </dxf>
    <dxf>
      <font>
        <color auto="1"/>
      </font>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0</xdr:colOff>
          <xdr:row>1</xdr:row>
          <xdr:rowOff>161925</xdr:rowOff>
        </xdr:from>
        <xdr:to>
          <xdr:col>10</xdr:col>
          <xdr:colOff>209550</xdr:colOff>
          <xdr:row>3</xdr:row>
          <xdr:rowOff>57150</xdr:rowOff>
        </xdr:to>
        <xdr:sp macro="" textlink="">
          <xdr:nvSpPr>
            <xdr:cNvPr id="3075" name="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0" i="0" u="none" strike="noStrike" baseline="0">
                  <a:solidFill>
                    <a:srgbClr val="000000"/>
                  </a:solidFill>
                  <a:latin typeface="Calibri"/>
                  <a:ea typeface="Calibri"/>
                  <a:cs typeface="Calibri"/>
                </a:rPr>
                <a:t>Refresh Product Data</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s-fp01\data$\Products\Mortgages\Calculators\BTL%20CALCULATOR%20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heetName val="Expenditure"/>
      <sheetName val="Results"/>
      <sheetName val="Calc"/>
      <sheetName val="Lists"/>
      <sheetName val="Income Calculator"/>
      <sheetName val="Part &amp; Part"/>
      <sheetName val="ONS Data"/>
      <sheetName val="BTL Product Data"/>
      <sheetName val="ONS Data BTL"/>
      <sheetName val="Income Multiplier"/>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ow r="10">
          <cell r="A10" t="str">
            <v>AL</v>
          </cell>
          <cell r="B10" t="str">
            <v>YES</v>
          </cell>
        </row>
        <row r="11">
          <cell r="A11" t="str">
            <v>BR</v>
          </cell>
          <cell r="B11" t="str">
            <v>YES</v>
          </cell>
        </row>
        <row r="12">
          <cell r="A12" t="str">
            <v>CR</v>
          </cell>
          <cell r="B12" t="str">
            <v>YES</v>
          </cell>
        </row>
        <row r="13">
          <cell r="A13" t="str">
            <v>DA</v>
          </cell>
          <cell r="B13" t="str">
            <v>YES</v>
          </cell>
        </row>
        <row r="14">
          <cell r="A14" t="str">
            <v>EN</v>
          </cell>
          <cell r="B14" t="str">
            <v>YES</v>
          </cell>
        </row>
        <row r="15">
          <cell r="A15" t="str">
            <v>HA</v>
          </cell>
          <cell r="B15" t="str">
            <v>YES</v>
          </cell>
        </row>
        <row r="16">
          <cell r="A16" t="str">
            <v>IG</v>
          </cell>
          <cell r="B16" t="str">
            <v>YES</v>
          </cell>
        </row>
        <row r="17">
          <cell r="A17" t="str">
            <v>LU</v>
          </cell>
          <cell r="B17" t="str">
            <v>YES</v>
          </cell>
        </row>
        <row r="18">
          <cell r="A18" t="str">
            <v>E</v>
          </cell>
          <cell r="B18" t="str">
            <v>YES</v>
          </cell>
        </row>
        <row r="19">
          <cell r="A19" t="str">
            <v>EC</v>
          </cell>
          <cell r="B19" t="str">
            <v>YES</v>
          </cell>
        </row>
        <row r="20">
          <cell r="A20" t="str">
            <v>N</v>
          </cell>
          <cell r="B20" t="str">
            <v>YES</v>
          </cell>
        </row>
        <row r="21">
          <cell r="A21" t="str">
            <v>NW</v>
          </cell>
          <cell r="B21" t="str">
            <v>YES</v>
          </cell>
        </row>
        <row r="22">
          <cell r="A22" t="str">
            <v>SE</v>
          </cell>
          <cell r="B22" t="str">
            <v>YES</v>
          </cell>
        </row>
        <row r="23">
          <cell r="A23" t="str">
            <v>SW</v>
          </cell>
          <cell r="B23" t="str">
            <v>YES</v>
          </cell>
        </row>
        <row r="24">
          <cell r="A24" t="str">
            <v>W</v>
          </cell>
          <cell r="B24" t="str">
            <v>YES</v>
          </cell>
        </row>
        <row r="25">
          <cell r="A25" t="str">
            <v>WC</v>
          </cell>
          <cell r="B25" t="str">
            <v>YES</v>
          </cell>
        </row>
        <row r="26">
          <cell r="A26" t="str">
            <v>SM</v>
          </cell>
          <cell r="B26" t="str">
            <v>YES</v>
          </cell>
        </row>
        <row r="27">
          <cell r="A27" t="str">
            <v>TW</v>
          </cell>
          <cell r="B27" t="str">
            <v>YES</v>
          </cell>
        </row>
        <row r="28">
          <cell r="A28" t="str">
            <v>UB</v>
          </cell>
          <cell r="B28" t="str">
            <v>YES</v>
          </cell>
        </row>
        <row r="29">
          <cell r="A29" t="str">
            <v>WD</v>
          </cell>
          <cell r="B29" t="str">
            <v>YES</v>
          </cell>
        </row>
      </sheetData>
      <sheetData sheetId="10"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DPR_DMART" connectionId="1" xr16:uid="{00000000-0016-0000-0A00-000000000000}" autoFormatId="16" applyNumberFormats="0" applyBorderFormats="0" applyFontFormats="0" applyPatternFormats="0" applyAlignmentFormats="0" applyWidthHeightFormats="0">
  <queryTableRefresh nextId="9">
    <queryTableFields count="8">
      <queryTableField id="1" name="ProductRateDescription" tableColumnId="1"/>
      <queryTableField id="2" name="RateValue" tableColumnId="2"/>
      <queryTableField id="3" name="Pay_Rate" tableColumnId="3"/>
      <queryTableField id="4" name="StressedRate" tableColumnId="4"/>
      <queryTableField id="5" name="FixedProdTerm" tableColumnId="5"/>
      <queryTableField id="6" name="scheduleType" tableColumnId="6"/>
      <queryTableField id="7" name="ProdTerm" tableColumnId="7"/>
      <queryTableField id="8" name="offeringSetName" tableColumnId="8"/>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Query_from_DPR_DMART" displayName="Table_Query_from_DPR_DMART" ref="A1:H56" tableType="queryTable" totalsRowShown="0">
  <autoFilter ref="A1:H56" xr:uid="{1F4B7721-20A4-4722-A5E8-8AEDD1885C93}"/>
  <tableColumns count="8">
    <tableColumn id="1" xr3:uid="{00000000-0010-0000-0000-000001000000}" uniqueName="1" name="ProductRateDescription" queryTableFieldId="1"/>
    <tableColumn id="2" xr3:uid="{00000000-0010-0000-0000-000002000000}" uniqueName="2" name="RateValue" queryTableFieldId="2"/>
    <tableColumn id="3" xr3:uid="{00000000-0010-0000-0000-000003000000}" uniqueName="3" name="Pay_Rate" queryTableFieldId="3"/>
    <tableColumn id="4" xr3:uid="{00000000-0010-0000-0000-000004000000}" uniqueName="4" name="StressedRate" queryTableFieldId="4"/>
    <tableColumn id="5" xr3:uid="{00000000-0010-0000-0000-000005000000}" uniqueName="5" name="FixedProdTerm" queryTableFieldId="5"/>
    <tableColumn id="6" xr3:uid="{00000000-0010-0000-0000-000006000000}" uniqueName="6" name="scheduleType" queryTableFieldId="6"/>
    <tableColumn id="7" xr3:uid="{00000000-0010-0000-0000-000007000000}" uniqueName="7" name="ProdTerm" queryTableFieldId="7"/>
    <tableColumn id="8" xr3:uid="{00000000-0010-0000-0000-000008000000}" uniqueName="8" name="offeringSetName" queryTableFieldId="8"/>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25"/>
  <sheetViews>
    <sheetView zoomScale="98" zoomScaleNormal="98" workbookViewId="0">
      <selection activeCell="F8" sqref="F8"/>
    </sheetView>
  </sheetViews>
  <sheetFormatPr defaultRowHeight="15" x14ac:dyDescent="0.25"/>
  <cols>
    <col min="1" max="1" width="6.28515625" customWidth="1"/>
    <col min="2" max="2" width="10.42578125" customWidth="1"/>
    <col min="3" max="3" width="11.140625" customWidth="1"/>
    <col min="4" max="4" width="10.7109375" bestFit="1" customWidth="1"/>
    <col min="5" max="5" width="4" customWidth="1"/>
    <col min="6" max="6" width="13.85546875" bestFit="1" customWidth="1"/>
    <col min="7" max="7" width="8.28515625" customWidth="1"/>
    <col min="8" max="8" width="13.85546875" bestFit="1" customWidth="1"/>
    <col min="10" max="10" width="13.85546875" bestFit="1" customWidth="1"/>
    <col min="12" max="12" width="13.85546875" bestFit="1" customWidth="1"/>
  </cols>
  <sheetData>
    <row r="1" spans="1:12" ht="16.5" thickBot="1" x14ac:dyDescent="0.3">
      <c r="A1" s="78" t="s">
        <v>137</v>
      </c>
      <c r="B1" s="127">
        <f ca="1">TODAY()</f>
        <v>45924</v>
      </c>
      <c r="C1" s="128"/>
    </row>
    <row r="2" spans="1:12" x14ac:dyDescent="0.25">
      <c r="A2" t="s">
        <v>252</v>
      </c>
    </row>
    <row r="3" spans="1:12" ht="18.75" x14ac:dyDescent="0.3">
      <c r="A3" s="79" t="s">
        <v>47</v>
      </c>
    </row>
    <row r="4" spans="1:12" x14ac:dyDescent="0.25">
      <c r="F4" s="86" t="s">
        <v>0</v>
      </c>
      <c r="H4" s="86" t="s">
        <v>1</v>
      </c>
      <c r="J4" s="86" t="s">
        <v>196</v>
      </c>
      <c r="L4" s="86" t="s">
        <v>197</v>
      </c>
    </row>
    <row r="5" spans="1:12" x14ac:dyDescent="0.25">
      <c r="F5" s="86"/>
      <c r="H5" s="86"/>
      <c r="J5" s="86"/>
      <c r="L5" s="86"/>
    </row>
    <row r="6" spans="1:12" x14ac:dyDescent="0.25">
      <c r="A6" s="84" t="s">
        <v>190</v>
      </c>
      <c r="C6" s="98"/>
      <c r="D6" s="99"/>
      <c r="E6" s="100"/>
      <c r="F6" s="23">
        <v>0</v>
      </c>
      <c r="G6" s="101"/>
      <c r="H6" s="24">
        <v>0</v>
      </c>
      <c r="J6" s="23">
        <v>0</v>
      </c>
      <c r="L6" s="23">
        <v>0</v>
      </c>
    </row>
    <row r="7" spans="1:12" x14ac:dyDescent="0.25">
      <c r="A7" s="84"/>
      <c r="C7" s="98"/>
      <c r="D7" s="99"/>
      <c r="E7" s="100"/>
      <c r="F7" s="125"/>
      <c r="G7" s="101"/>
      <c r="H7" s="126"/>
      <c r="J7" s="125"/>
      <c r="L7" s="125"/>
    </row>
    <row r="8" spans="1:12" x14ac:dyDescent="0.25">
      <c r="A8" s="84" t="s">
        <v>213</v>
      </c>
      <c r="C8" s="105"/>
      <c r="D8" s="105"/>
      <c r="E8" s="89"/>
      <c r="F8" s="23">
        <v>0</v>
      </c>
      <c r="G8" s="101"/>
      <c r="H8" s="23">
        <v>0</v>
      </c>
      <c r="J8" s="23">
        <v>0</v>
      </c>
      <c r="L8" s="23">
        <v>0</v>
      </c>
    </row>
    <row r="9" spans="1:12" x14ac:dyDescent="0.25">
      <c r="A9" s="84"/>
      <c r="E9" s="103"/>
      <c r="F9" s="104"/>
      <c r="G9" s="102"/>
      <c r="H9" s="104"/>
      <c r="J9" s="104"/>
      <c r="L9" s="104"/>
    </row>
    <row r="10" spans="1:12" x14ac:dyDescent="0.25">
      <c r="A10" s="84" t="s">
        <v>189</v>
      </c>
      <c r="C10" s="105"/>
      <c r="D10" s="105"/>
      <c r="E10" s="89"/>
      <c r="F10" s="24">
        <v>0</v>
      </c>
      <c r="G10" s="101"/>
      <c r="H10" s="24">
        <v>0</v>
      </c>
      <c r="J10" s="24">
        <v>0</v>
      </c>
      <c r="L10" s="24">
        <v>0</v>
      </c>
    </row>
    <row r="11" spans="1:12" ht="15.75" thickBot="1" x14ac:dyDescent="0.3">
      <c r="A11" s="84"/>
      <c r="C11" s="105"/>
      <c r="D11" s="105"/>
      <c r="E11" s="45"/>
      <c r="F11" s="101"/>
      <c r="G11" s="101"/>
      <c r="H11" s="101"/>
      <c r="J11" s="101"/>
      <c r="L11" s="101"/>
    </row>
    <row r="12" spans="1:12" ht="15.75" thickBot="1" x14ac:dyDescent="0.3">
      <c r="A12" s="84" t="s">
        <v>48</v>
      </c>
      <c r="C12" s="105"/>
      <c r="D12" s="105"/>
      <c r="E12" s="45"/>
      <c r="F12" s="25">
        <f>SUM(F6+F8+F10)</f>
        <v>0</v>
      </c>
      <c r="G12" s="101"/>
      <c r="H12" s="25">
        <f>SUM(H6+H8+H10)</f>
        <v>0</v>
      </c>
      <c r="J12" s="25">
        <f>SUM(J6+J8+J10)</f>
        <v>0</v>
      </c>
      <c r="L12" s="25">
        <f>SUM(L6+L8+L10)</f>
        <v>0</v>
      </c>
    </row>
    <row r="13" spans="1:12" ht="15.75" thickBot="1" x14ac:dyDescent="0.3">
      <c r="A13" s="84"/>
      <c r="C13" s="105"/>
      <c r="D13" s="105"/>
      <c r="E13" s="45"/>
      <c r="F13" s="101"/>
      <c r="G13" s="101"/>
      <c r="H13" s="101"/>
      <c r="J13" s="101"/>
      <c r="L13" s="101"/>
    </row>
    <row r="14" spans="1:12" ht="16.5" thickBot="1" x14ac:dyDescent="0.3">
      <c r="A14" s="106" t="s">
        <v>193</v>
      </c>
      <c r="C14" s="105"/>
      <c r="D14" s="105"/>
      <c r="E14" s="89"/>
      <c r="F14" s="25">
        <f>SUM('Income Calculator'!B25)</f>
        <v>0</v>
      </c>
      <c r="G14" s="101"/>
      <c r="H14" s="25">
        <f>SUM('Income Calculator'!E25)</f>
        <v>0</v>
      </c>
      <c r="J14" s="25">
        <f>SUM('Income Calculator'!G25)</f>
        <v>0</v>
      </c>
      <c r="L14" s="25">
        <f>SUM('Income Calculator'!I25)</f>
        <v>0</v>
      </c>
    </row>
    <row r="15" spans="1:12" x14ac:dyDescent="0.25">
      <c r="A15" s="84"/>
      <c r="C15" s="105"/>
      <c r="D15" s="105"/>
      <c r="E15" s="89"/>
      <c r="F15" s="101"/>
      <c r="G15" s="101"/>
      <c r="H15" s="101"/>
    </row>
    <row r="16" spans="1:12" ht="15.75" thickBot="1" x14ac:dyDescent="0.3"/>
    <row r="17" spans="1:10" ht="15.75" thickBot="1" x14ac:dyDescent="0.3">
      <c r="A17" s="84" t="s">
        <v>49</v>
      </c>
      <c r="F17" s="27" t="s">
        <v>14</v>
      </c>
      <c r="H17" s="107" t="s">
        <v>14</v>
      </c>
      <c r="I17" s="129" t="s">
        <v>176</v>
      </c>
      <c r="J17" s="130"/>
    </row>
    <row r="18" spans="1:10" x14ac:dyDescent="0.25">
      <c r="H18" s="107" t="s">
        <v>15</v>
      </c>
      <c r="I18" s="129" t="s">
        <v>177</v>
      </c>
      <c r="J18" s="130"/>
    </row>
    <row r="19" spans="1:10" x14ac:dyDescent="0.25">
      <c r="A19" s="84"/>
      <c r="H19" s="107" t="s">
        <v>16</v>
      </c>
      <c r="I19" s="129" t="s">
        <v>178</v>
      </c>
      <c r="J19" s="130"/>
    </row>
    <row r="20" spans="1:10" x14ac:dyDescent="0.25">
      <c r="H20" s="107" t="s">
        <v>17</v>
      </c>
      <c r="I20" s="129" t="s">
        <v>179</v>
      </c>
      <c r="J20" s="130"/>
    </row>
    <row r="21" spans="1:10" x14ac:dyDescent="0.25">
      <c r="H21" s="107" t="s">
        <v>18</v>
      </c>
      <c r="I21" s="129" t="s">
        <v>180</v>
      </c>
      <c r="J21" s="130"/>
    </row>
    <row r="22" spans="1:10" x14ac:dyDescent="0.25">
      <c r="H22" s="107" t="s">
        <v>19</v>
      </c>
      <c r="I22" s="129" t="s">
        <v>181</v>
      </c>
      <c r="J22" s="130"/>
    </row>
    <row r="23" spans="1:10" x14ac:dyDescent="0.25">
      <c r="H23" s="107" t="s">
        <v>20</v>
      </c>
      <c r="I23" s="129" t="s">
        <v>182</v>
      </c>
      <c r="J23" s="130"/>
    </row>
    <row r="24" spans="1:10" x14ac:dyDescent="0.25">
      <c r="H24" s="8" t="s">
        <v>183</v>
      </c>
      <c r="I24" s="131" t="s">
        <v>184</v>
      </c>
      <c r="J24" s="130"/>
    </row>
    <row r="25" spans="1:10" x14ac:dyDescent="0.25">
      <c r="H25" s="8" t="s">
        <v>185</v>
      </c>
      <c r="I25" s="131" t="s">
        <v>186</v>
      </c>
      <c r="J25" s="130"/>
    </row>
  </sheetData>
  <sheetProtection algorithmName="SHA-512" hashValue="PXFzGEbv52bvRzJ++7Fmmo3YCdnhK63PdJGySUIZs+1NkAWjuhPUh08uWHPkCmaIvPhfsQ3urO8Yh2ZBj0MqAw==" saltValue="tzhfhsvAQimfC+XT/1Zcaw==" spinCount="100000" sheet="1" selectLockedCells="1"/>
  <mergeCells count="10">
    <mergeCell ref="I21:J21"/>
    <mergeCell ref="I22:J22"/>
    <mergeCell ref="I23:J23"/>
    <mergeCell ref="I24:J24"/>
    <mergeCell ref="I25:J25"/>
    <mergeCell ref="B1:C1"/>
    <mergeCell ref="I17:J17"/>
    <mergeCell ref="I18:J18"/>
    <mergeCell ref="I19:J19"/>
    <mergeCell ref="I20:J20"/>
  </mergeCells>
  <pageMargins left="0.70866141732283472" right="0.70866141732283472" top="0.74803149606299213" bottom="0.7480314960629921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15CA27C-CFB5-49A5-83A0-C3184B87E247}">
          <x14:formula1>
            <xm:f>Lists!$B$1:$B$9</xm:f>
          </x14:formula1>
          <xm:sqref>F17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75193-29DC-415F-9D6C-B80DD7C6FA7F}">
  <sheetPr codeName="Sheet10"/>
  <dimension ref="A1:B9"/>
  <sheetViews>
    <sheetView workbookViewId="0">
      <selection activeCell="C1" sqref="C1"/>
    </sheetView>
  </sheetViews>
  <sheetFormatPr defaultRowHeight="15" x14ac:dyDescent="0.25"/>
  <sheetData>
    <row r="1" spans="1:2" x14ac:dyDescent="0.25">
      <c r="A1" t="s">
        <v>14</v>
      </c>
      <c r="B1" t="s">
        <v>14</v>
      </c>
    </row>
    <row r="2" spans="1:2" x14ac:dyDescent="0.25">
      <c r="A2" t="s">
        <v>15</v>
      </c>
      <c r="B2" t="s">
        <v>15</v>
      </c>
    </row>
    <row r="3" spans="1:2" x14ac:dyDescent="0.25">
      <c r="B3" t="s">
        <v>16</v>
      </c>
    </row>
    <row r="4" spans="1:2" x14ac:dyDescent="0.25">
      <c r="B4" t="s">
        <v>17</v>
      </c>
    </row>
    <row r="5" spans="1:2" x14ac:dyDescent="0.25">
      <c r="B5" t="s">
        <v>18</v>
      </c>
    </row>
    <row r="6" spans="1:2" x14ac:dyDescent="0.25">
      <c r="B6" t="s">
        <v>19</v>
      </c>
    </row>
    <row r="7" spans="1:2" x14ac:dyDescent="0.25">
      <c r="B7" t="s">
        <v>20</v>
      </c>
    </row>
    <row r="8" spans="1:2" x14ac:dyDescent="0.25">
      <c r="B8" t="s">
        <v>183</v>
      </c>
    </row>
    <row r="9" spans="1:2" x14ac:dyDescent="0.25">
      <c r="B9" t="s">
        <v>185</v>
      </c>
    </row>
  </sheetData>
  <sheetProtection algorithmName="SHA-512" hashValue="j1HyKuCTyfnMsRlxxxQVqlGYokC1qjB0fenCvUE3pwCNdVnG3YhMQItmSOq9OLDfjrh/xaZ+xNyE61MaiTZrxg==" saltValue="LOsZuKy5lLal2pzpeNJ5xQ=="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H56"/>
  <sheetViews>
    <sheetView workbookViewId="0">
      <selection activeCell="A2" sqref="A2"/>
    </sheetView>
  </sheetViews>
  <sheetFormatPr defaultRowHeight="15" x14ac:dyDescent="0.25"/>
  <cols>
    <col min="1" max="1" width="57.5703125" bestFit="1" customWidth="1"/>
    <col min="2" max="2" width="12.42578125" bestFit="1" customWidth="1"/>
    <col min="3" max="3" width="11.42578125" bestFit="1" customWidth="1"/>
    <col min="4" max="4" width="14.85546875" bestFit="1" customWidth="1"/>
    <col min="5" max="5" width="17" bestFit="1" customWidth="1"/>
    <col min="6" max="6" width="15.7109375" bestFit="1" customWidth="1"/>
    <col min="7" max="7" width="12" bestFit="1" customWidth="1"/>
    <col min="8" max="8" width="21.85546875" bestFit="1" customWidth="1"/>
  </cols>
  <sheetData>
    <row r="1" spans="1:8" x14ac:dyDescent="0.25">
      <c r="A1" t="s">
        <v>140</v>
      </c>
      <c r="B1" t="s">
        <v>141</v>
      </c>
      <c r="C1" t="s">
        <v>142</v>
      </c>
      <c r="D1" t="s">
        <v>143</v>
      </c>
      <c r="E1" t="s">
        <v>144</v>
      </c>
      <c r="F1" t="s">
        <v>145</v>
      </c>
      <c r="G1" t="s">
        <v>146</v>
      </c>
      <c r="H1" t="s">
        <v>147</v>
      </c>
    </row>
    <row r="2" spans="1:8" x14ac:dyDescent="0.25">
      <c r="A2" t="s">
        <v>214</v>
      </c>
      <c r="B2">
        <v>8.09</v>
      </c>
      <c r="C2">
        <v>5.44</v>
      </c>
      <c r="D2">
        <v>8.51</v>
      </c>
      <c r="E2" t="s">
        <v>150</v>
      </c>
      <c r="F2" t="s">
        <v>148</v>
      </c>
      <c r="G2" t="s">
        <v>150</v>
      </c>
      <c r="H2" t="s">
        <v>175</v>
      </c>
    </row>
    <row r="3" spans="1:8" x14ac:dyDescent="0.25">
      <c r="A3" t="s">
        <v>215</v>
      </c>
      <c r="B3">
        <v>8.09</v>
      </c>
      <c r="C3">
        <v>6.25</v>
      </c>
      <c r="D3">
        <v>8.51</v>
      </c>
      <c r="E3" t="s">
        <v>150</v>
      </c>
      <c r="F3" t="s">
        <v>148</v>
      </c>
      <c r="G3" t="s">
        <v>150</v>
      </c>
      <c r="H3" t="s">
        <v>175</v>
      </c>
    </row>
    <row r="4" spans="1:8" x14ac:dyDescent="0.25">
      <c r="A4" t="s">
        <v>229</v>
      </c>
      <c r="B4">
        <v>8.09</v>
      </c>
      <c r="C4">
        <v>5.7</v>
      </c>
      <c r="D4">
        <v>5.7</v>
      </c>
      <c r="E4" t="s">
        <v>230</v>
      </c>
      <c r="F4" t="s">
        <v>148</v>
      </c>
      <c r="G4" t="s">
        <v>230</v>
      </c>
      <c r="H4" t="s">
        <v>149</v>
      </c>
    </row>
    <row r="5" spans="1:8" x14ac:dyDescent="0.25">
      <c r="A5" t="s">
        <v>231</v>
      </c>
      <c r="B5">
        <v>8.09</v>
      </c>
      <c r="C5">
        <v>6</v>
      </c>
      <c r="D5">
        <v>6</v>
      </c>
      <c r="E5" t="s">
        <v>230</v>
      </c>
      <c r="F5" t="s">
        <v>148</v>
      </c>
      <c r="G5" t="s">
        <v>230</v>
      </c>
      <c r="H5" t="s">
        <v>149</v>
      </c>
    </row>
    <row r="6" spans="1:8" x14ac:dyDescent="0.25">
      <c r="A6" t="s">
        <v>232</v>
      </c>
      <c r="B6">
        <v>8.09</v>
      </c>
      <c r="C6">
        <v>6.5</v>
      </c>
      <c r="D6">
        <v>6.5</v>
      </c>
      <c r="E6" t="s">
        <v>230</v>
      </c>
      <c r="F6" t="s">
        <v>148</v>
      </c>
      <c r="G6" t="s">
        <v>230</v>
      </c>
      <c r="H6" t="s">
        <v>209</v>
      </c>
    </row>
    <row r="7" spans="1:8" x14ac:dyDescent="0.25">
      <c r="A7" t="s">
        <v>232</v>
      </c>
      <c r="B7">
        <v>8.09</v>
      </c>
      <c r="C7">
        <v>6.5</v>
      </c>
      <c r="D7">
        <v>6.5</v>
      </c>
      <c r="E7" t="s">
        <v>230</v>
      </c>
      <c r="F7" t="s">
        <v>148</v>
      </c>
      <c r="G7" t="s">
        <v>230</v>
      </c>
      <c r="H7" t="s">
        <v>207</v>
      </c>
    </row>
    <row r="8" spans="1:8" x14ac:dyDescent="0.25">
      <c r="A8" t="s">
        <v>232</v>
      </c>
      <c r="B8">
        <v>8.09</v>
      </c>
      <c r="C8">
        <v>6.5</v>
      </c>
      <c r="D8">
        <v>6.5</v>
      </c>
      <c r="E8" t="s">
        <v>230</v>
      </c>
      <c r="F8" t="s">
        <v>148</v>
      </c>
      <c r="G8" t="s">
        <v>230</v>
      </c>
      <c r="H8" t="s">
        <v>228</v>
      </c>
    </row>
    <row r="9" spans="1:8" x14ac:dyDescent="0.25">
      <c r="A9" t="s">
        <v>232</v>
      </c>
      <c r="B9">
        <v>8.09</v>
      </c>
      <c r="C9">
        <v>6.5</v>
      </c>
      <c r="D9">
        <v>6.5</v>
      </c>
      <c r="E9" t="s">
        <v>230</v>
      </c>
      <c r="F9" t="s">
        <v>148</v>
      </c>
      <c r="G9" t="s">
        <v>230</v>
      </c>
      <c r="H9" t="s">
        <v>227</v>
      </c>
    </row>
    <row r="10" spans="1:8" x14ac:dyDescent="0.25">
      <c r="A10" t="s">
        <v>232</v>
      </c>
      <c r="B10">
        <v>8.09</v>
      </c>
      <c r="C10">
        <v>6.5</v>
      </c>
      <c r="D10">
        <v>6.5</v>
      </c>
      <c r="E10" t="s">
        <v>230</v>
      </c>
      <c r="F10" t="s">
        <v>148</v>
      </c>
      <c r="G10" t="s">
        <v>230</v>
      </c>
      <c r="H10" t="s">
        <v>223</v>
      </c>
    </row>
    <row r="11" spans="1:8" x14ac:dyDescent="0.25">
      <c r="A11" t="s">
        <v>232</v>
      </c>
      <c r="B11">
        <v>8.09</v>
      </c>
      <c r="C11">
        <v>6.5</v>
      </c>
      <c r="D11">
        <v>6.5</v>
      </c>
      <c r="E11" t="s">
        <v>230</v>
      </c>
      <c r="F11" t="s">
        <v>148</v>
      </c>
      <c r="G11" t="s">
        <v>230</v>
      </c>
      <c r="H11" t="s">
        <v>210</v>
      </c>
    </row>
    <row r="12" spans="1:8" x14ac:dyDescent="0.25">
      <c r="A12" t="s">
        <v>241</v>
      </c>
      <c r="B12">
        <v>8.09</v>
      </c>
      <c r="C12">
        <v>5.7</v>
      </c>
      <c r="D12">
        <v>8.51</v>
      </c>
      <c r="E12" t="s">
        <v>150</v>
      </c>
      <c r="F12" t="s">
        <v>148</v>
      </c>
      <c r="G12" t="s">
        <v>150</v>
      </c>
      <c r="H12" t="s">
        <v>149</v>
      </c>
    </row>
    <row r="13" spans="1:8" x14ac:dyDescent="0.25">
      <c r="A13" t="s">
        <v>242</v>
      </c>
      <c r="B13">
        <v>8.09</v>
      </c>
      <c r="C13">
        <v>5.4</v>
      </c>
      <c r="D13">
        <v>8.51</v>
      </c>
      <c r="E13" t="s">
        <v>150</v>
      </c>
      <c r="F13" t="s">
        <v>148</v>
      </c>
      <c r="G13" t="s">
        <v>150</v>
      </c>
      <c r="H13" t="s">
        <v>149</v>
      </c>
    </row>
    <row r="14" spans="1:8" x14ac:dyDescent="0.25">
      <c r="A14" t="s">
        <v>243</v>
      </c>
      <c r="B14">
        <v>8.09</v>
      </c>
      <c r="C14">
        <v>6.2</v>
      </c>
      <c r="D14">
        <v>8.51</v>
      </c>
      <c r="E14" t="s">
        <v>150</v>
      </c>
      <c r="F14" t="s">
        <v>148</v>
      </c>
      <c r="G14" t="s">
        <v>150</v>
      </c>
      <c r="H14" t="s">
        <v>210</v>
      </c>
    </row>
    <row r="15" spans="1:8" x14ac:dyDescent="0.25">
      <c r="A15" t="s">
        <v>243</v>
      </c>
      <c r="B15">
        <v>8.09</v>
      </c>
      <c r="C15">
        <v>6.2</v>
      </c>
      <c r="D15">
        <v>8.51</v>
      </c>
      <c r="E15" t="s">
        <v>150</v>
      </c>
      <c r="F15" t="s">
        <v>148</v>
      </c>
      <c r="G15" t="s">
        <v>150</v>
      </c>
      <c r="H15" t="s">
        <v>228</v>
      </c>
    </row>
    <row r="16" spans="1:8" x14ac:dyDescent="0.25">
      <c r="A16" t="s">
        <v>243</v>
      </c>
      <c r="B16">
        <v>8.09</v>
      </c>
      <c r="C16">
        <v>6.2</v>
      </c>
      <c r="D16">
        <v>8.51</v>
      </c>
      <c r="E16" t="s">
        <v>150</v>
      </c>
      <c r="F16" t="s">
        <v>148</v>
      </c>
      <c r="G16" t="s">
        <v>150</v>
      </c>
      <c r="H16" t="s">
        <v>207</v>
      </c>
    </row>
    <row r="17" spans="1:8" x14ac:dyDescent="0.25">
      <c r="A17" t="s">
        <v>243</v>
      </c>
      <c r="B17">
        <v>8.09</v>
      </c>
      <c r="C17">
        <v>6.2</v>
      </c>
      <c r="D17">
        <v>8.51</v>
      </c>
      <c r="E17" t="s">
        <v>150</v>
      </c>
      <c r="F17" t="s">
        <v>148</v>
      </c>
      <c r="G17" t="s">
        <v>150</v>
      </c>
      <c r="H17" t="s">
        <v>209</v>
      </c>
    </row>
    <row r="18" spans="1:8" x14ac:dyDescent="0.25">
      <c r="A18" t="s">
        <v>243</v>
      </c>
      <c r="B18">
        <v>8.09</v>
      </c>
      <c r="C18">
        <v>6.2</v>
      </c>
      <c r="D18">
        <v>8.51</v>
      </c>
      <c r="E18" t="s">
        <v>150</v>
      </c>
      <c r="F18" t="s">
        <v>148</v>
      </c>
      <c r="G18" t="s">
        <v>150</v>
      </c>
      <c r="H18" t="s">
        <v>227</v>
      </c>
    </row>
    <row r="19" spans="1:8" x14ac:dyDescent="0.25">
      <c r="A19" t="s">
        <v>243</v>
      </c>
      <c r="B19">
        <v>8.09</v>
      </c>
      <c r="C19">
        <v>6.2</v>
      </c>
      <c r="D19">
        <v>8.51</v>
      </c>
      <c r="E19" t="s">
        <v>150</v>
      </c>
      <c r="F19" t="s">
        <v>148</v>
      </c>
      <c r="G19" t="s">
        <v>150</v>
      </c>
      <c r="H19" t="s">
        <v>223</v>
      </c>
    </row>
    <row r="20" spans="1:8" x14ac:dyDescent="0.25">
      <c r="A20" t="s">
        <v>244</v>
      </c>
      <c r="B20">
        <v>8.09</v>
      </c>
      <c r="C20">
        <v>5.45</v>
      </c>
      <c r="D20">
        <v>8.51</v>
      </c>
      <c r="E20" t="s">
        <v>150</v>
      </c>
      <c r="F20" t="s">
        <v>148</v>
      </c>
      <c r="G20" t="s">
        <v>150</v>
      </c>
      <c r="H20" t="s">
        <v>226</v>
      </c>
    </row>
    <row r="21" spans="1:8" x14ac:dyDescent="0.25">
      <c r="A21" t="s">
        <v>244</v>
      </c>
      <c r="B21">
        <v>8.09</v>
      </c>
      <c r="C21">
        <v>5.45</v>
      </c>
      <c r="D21">
        <v>8.51</v>
      </c>
      <c r="E21" t="s">
        <v>150</v>
      </c>
      <c r="F21" t="s">
        <v>148</v>
      </c>
      <c r="G21" t="s">
        <v>150</v>
      </c>
      <c r="H21" t="s">
        <v>240</v>
      </c>
    </row>
    <row r="22" spans="1:8" x14ac:dyDescent="0.25">
      <c r="A22" t="s">
        <v>245</v>
      </c>
      <c r="B22">
        <v>8.09</v>
      </c>
      <c r="C22">
        <v>5.45</v>
      </c>
      <c r="D22">
        <v>5.45</v>
      </c>
      <c r="E22" t="s">
        <v>230</v>
      </c>
      <c r="F22" t="s">
        <v>148</v>
      </c>
      <c r="G22" t="s">
        <v>230</v>
      </c>
      <c r="H22" t="s">
        <v>240</v>
      </c>
    </row>
    <row r="23" spans="1:8" x14ac:dyDescent="0.25">
      <c r="A23" t="s">
        <v>245</v>
      </c>
      <c r="B23">
        <v>8.09</v>
      </c>
      <c r="C23">
        <v>5.45</v>
      </c>
      <c r="D23">
        <v>5.45</v>
      </c>
      <c r="E23" t="s">
        <v>230</v>
      </c>
      <c r="F23" t="s">
        <v>148</v>
      </c>
      <c r="G23" t="s">
        <v>230</v>
      </c>
      <c r="H23" t="s">
        <v>226</v>
      </c>
    </row>
    <row r="24" spans="1:8" x14ac:dyDescent="0.25">
      <c r="A24" t="s">
        <v>246</v>
      </c>
      <c r="B24">
        <v>8.09</v>
      </c>
      <c r="C24">
        <v>5.7</v>
      </c>
      <c r="D24">
        <v>8.51</v>
      </c>
      <c r="E24" t="s">
        <v>150</v>
      </c>
      <c r="F24" t="s">
        <v>148</v>
      </c>
      <c r="G24" t="s">
        <v>150</v>
      </c>
      <c r="H24" t="s">
        <v>226</v>
      </c>
    </row>
    <row r="25" spans="1:8" x14ac:dyDescent="0.25">
      <c r="A25" t="s">
        <v>246</v>
      </c>
      <c r="B25">
        <v>8.09</v>
      </c>
      <c r="C25">
        <v>5.7</v>
      </c>
      <c r="D25">
        <v>8.51</v>
      </c>
      <c r="E25" t="s">
        <v>150</v>
      </c>
      <c r="F25" t="s">
        <v>148</v>
      </c>
      <c r="G25" t="s">
        <v>150</v>
      </c>
      <c r="H25" t="s">
        <v>240</v>
      </c>
    </row>
    <row r="26" spans="1:8" x14ac:dyDescent="0.25">
      <c r="A26" t="s">
        <v>247</v>
      </c>
      <c r="B26">
        <v>8.09</v>
      </c>
      <c r="C26">
        <v>5.7</v>
      </c>
      <c r="D26">
        <v>5.7</v>
      </c>
      <c r="E26" t="s">
        <v>230</v>
      </c>
      <c r="F26" t="s">
        <v>148</v>
      </c>
      <c r="G26" t="s">
        <v>230</v>
      </c>
      <c r="H26" t="s">
        <v>240</v>
      </c>
    </row>
    <row r="27" spans="1:8" x14ac:dyDescent="0.25">
      <c r="A27" t="s">
        <v>247</v>
      </c>
      <c r="B27">
        <v>8.09</v>
      </c>
      <c r="C27">
        <v>5.7</v>
      </c>
      <c r="D27">
        <v>5.7</v>
      </c>
      <c r="E27" t="s">
        <v>230</v>
      </c>
      <c r="F27" t="s">
        <v>148</v>
      </c>
      <c r="G27" t="s">
        <v>230</v>
      </c>
      <c r="H27" t="s">
        <v>226</v>
      </c>
    </row>
    <row r="28" spans="1:8" x14ac:dyDescent="0.25">
      <c r="A28" t="s">
        <v>248</v>
      </c>
      <c r="B28">
        <v>8.09</v>
      </c>
      <c r="C28">
        <v>5.5</v>
      </c>
      <c r="D28">
        <v>8.51</v>
      </c>
      <c r="E28" t="s">
        <v>150</v>
      </c>
      <c r="F28" t="s">
        <v>148</v>
      </c>
      <c r="G28" t="s">
        <v>150</v>
      </c>
      <c r="H28" t="s">
        <v>149</v>
      </c>
    </row>
    <row r="29" spans="1:8" x14ac:dyDescent="0.25">
      <c r="A29" t="s">
        <v>249</v>
      </c>
      <c r="B29">
        <v>8.09</v>
      </c>
      <c r="C29">
        <v>4.99</v>
      </c>
      <c r="D29">
        <v>4.99</v>
      </c>
      <c r="E29" t="s">
        <v>230</v>
      </c>
      <c r="F29" t="s">
        <v>148</v>
      </c>
      <c r="G29" t="s">
        <v>230</v>
      </c>
      <c r="H29" t="s">
        <v>149</v>
      </c>
    </row>
    <row r="30" spans="1:8" x14ac:dyDescent="0.25">
      <c r="A30" t="s">
        <v>216</v>
      </c>
      <c r="B30">
        <v>8.09</v>
      </c>
      <c r="C30">
        <v>4.84</v>
      </c>
      <c r="D30">
        <v>8.51</v>
      </c>
      <c r="E30" t="s">
        <v>151</v>
      </c>
      <c r="F30" t="s">
        <v>152</v>
      </c>
      <c r="G30" t="s">
        <v>150</v>
      </c>
      <c r="H30" t="s">
        <v>149</v>
      </c>
    </row>
    <row r="31" spans="1:8" x14ac:dyDescent="0.25">
      <c r="A31" t="s">
        <v>217</v>
      </c>
      <c r="B31">
        <v>8.09</v>
      </c>
      <c r="C31">
        <v>4.9400000000000004</v>
      </c>
      <c r="D31">
        <v>8.51</v>
      </c>
      <c r="E31" t="s">
        <v>151</v>
      </c>
      <c r="F31" t="s">
        <v>152</v>
      </c>
      <c r="G31" t="s">
        <v>150</v>
      </c>
      <c r="H31" t="s">
        <v>149</v>
      </c>
    </row>
    <row r="32" spans="1:8" x14ac:dyDescent="0.25">
      <c r="A32" t="s">
        <v>218</v>
      </c>
      <c r="B32">
        <v>8.09</v>
      </c>
      <c r="C32">
        <v>5.24</v>
      </c>
      <c r="D32">
        <v>8.51</v>
      </c>
      <c r="E32" t="s">
        <v>151</v>
      </c>
      <c r="F32" t="s">
        <v>152</v>
      </c>
      <c r="G32" t="s">
        <v>150</v>
      </c>
      <c r="H32" t="s">
        <v>149</v>
      </c>
    </row>
    <row r="33" spans="1:8" x14ac:dyDescent="0.25">
      <c r="A33" t="s">
        <v>220</v>
      </c>
      <c r="B33">
        <v>8.09</v>
      </c>
      <c r="C33">
        <v>5.69</v>
      </c>
      <c r="D33">
        <v>8.51</v>
      </c>
      <c r="E33" t="s">
        <v>151</v>
      </c>
      <c r="F33" t="s">
        <v>152</v>
      </c>
      <c r="G33" t="s">
        <v>150</v>
      </c>
      <c r="H33" t="s">
        <v>149</v>
      </c>
    </row>
    <row r="34" spans="1:8" x14ac:dyDescent="0.25">
      <c r="A34" t="s">
        <v>221</v>
      </c>
      <c r="B34">
        <v>8.09</v>
      </c>
      <c r="C34">
        <v>5.84</v>
      </c>
      <c r="D34">
        <v>8.51</v>
      </c>
      <c r="E34" t="s">
        <v>151</v>
      </c>
      <c r="F34" t="s">
        <v>152</v>
      </c>
      <c r="G34" t="s">
        <v>150</v>
      </c>
      <c r="H34" t="s">
        <v>149</v>
      </c>
    </row>
    <row r="35" spans="1:8" x14ac:dyDescent="0.25">
      <c r="A35" t="s">
        <v>222</v>
      </c>
      <c r="B35">
        <v>8.09</v>
      </c>
      <c r="C35">
        <v>5.99</v>
      </c>
      <c r="D35">
        <v>8.51</v>
      </c>
      <c r="E35" t="s">
        <v>151</v>
      </c>
      <c r="F35" t="s">
        <v>152</v>
      </c>
      <c r="G35" t="s">
        <v>150</v>
      </c>
      <c r="H35" t="s">
        <v>149</v>
      </c>
    </row>
    <row r="36" spans="1:8" x14ac:dyDescent="0.25">
      <c r="A36" t="s">
        <v>224</v>
      </c>
      <c r="B36">
        <v>8.09</v>
      </c>
      <c r="C36">
        <v>5.3</v>
      </c>
      <c r="D36">
        <v>8.51</v>
      </c>
      <c r="E36" t="s">
        <v>151</v>
      </c>
      <c r="F36" t="s">
        <v>152</v>
      </c>
      <c r="G36" t="s">
        <v>150</v>
      </c>
      <c r="H36" t="s">
        <v>223</v>
      </c>
    </row>
    <row r="37" spans="1:8" x14ac:dyDescent="0.25">
      <c r="A37" t="s">
        <v>225</v>
      </c>
      <c r="B37">
        <v>8.09</v>
      </c>
      <c r="C37">
        <v>5.5</v>
      </c>
      <c r="D37">
        <v>8.51</v>
      </c>
      <c r="E37" t="s">
        <v>151</v>
      </c>
      <c r="F37" t="s">
        <v>152</v>
      </c>
      <c r="G37" t="s">
        <v>150</v>
      </c>
      <c r="H37" t="s">
        <v>223</v>
      </c>
    </row>
    <row r="38" spans="1:8" x14ac:dyDescent="0.25">
      <c r="A38" t="s">
        <v>233</v>
      </c>
      <c r="B38">
        <v>8.09</v>
      </c>
      <c r="C38">
        <v>5.34</v>
      </c>
      <c r="D38">
        <v>8.51</v>
      </c>
      <c r="E38" t="s">
        <v>151</v>
      </c>
      <c r="F38" t="s">
        <v>152</v>
      </c>
      <c r="G38" t="s">
        <v>150</v>
      </c>
      <c r="H38" t="s">
        <v>149</v>
      </c>
    </row>
    <row r="39" spans="1:8" x14ac:dyDescent="0.25">
      <c r="A39" t="s">
        <v>234</v>
      </c>
      <c r="B39">
        <v>8.09</v>
      </c>
      <c r="C39">
        <v>6</v>
      </c>
      <c r="D39">
        <v>8.51</v>
      </c>
      <c r="E39" t="s">
        <v>151</v>
      </c>
      <c r="F39" t="s">
        <v>152</v>
      </c>
      <c r="G39" t="s">
        <v>150</v>
      </c>
      <c r="H39" t="s">
        <v>149</v>
      </c>
    </row>
    <row r="40" spans="1:8" x14ac:dyDescent="0.25">
      <c r="A40" t="s">
        <v>235</v>
      </c>
      <c r="B40">
        <v>8.09</v>
      </c>
      <c r="C40">
        <v>6.1</v>
      </c>
      <c r="D40">
        <v>8.51</v>
      </c>
      <c r="E40" t="s">
        <v>151</v>
      </c>
      <c r="F40" t="s">
        <v>152</v>
      </c>
      <c r="G40" t="s">
        <v>150</v>
      </c>
      <c r="H40" t="s">
        <v>149</v>
      </c>
    </row>
    <row r="41" spans="1:8" x14ac:dyDescent="0.25">
      <c r="A41" t="s">
        <v>236</v>
      </c>
      <c r="B41">
        <v>8.09</v>
      </c>
      <c r="C41">
        <v>6.2</v>
      </c>
      <c r="D41">
        <v>8.51</v>
      </c>
      <c r="E41" t="s">
        <v>151</v>
      </c>
      <c r="F41" t="s">
        <v>152</v>
      </c>
      <c r="G41" t="s">
        <v>150</v>
      </c>
      <c r="H41" t="s">
        <v>149</v>
      </c>
    </row>
    <row r="42" spans="1:8" x14ac:dyDescent="0.25">
      <c r="A42" t="s">
        <v>237</v>
      </c>
      <c r="B42">
        <v>8.09</v>
      </c>
      <c r="C42">
        <v>5.8</v>
      </c>
      <c r="D42">
        <v>8.51</v>
      </c>
      <c r="E42" t="s">
        <v>151</v>
      </c>
      <c r="F42" t="s">
        <v>152</v>
      </c>
      <c r="G42" t="s">
        <v>150</v>
      </c>
      <c r="H42" t="s">
        <v>149</v>
      </c>
    </row>
    <row r="43" spans="1:8" x14ac:dyDescent="0.25">
      <c r="A43" t="s">
        <v>238</v>
      </c>
      <c r="B43">
        <v>8.09</v>
      </c>
      <c r="C43">
        <v>6</v>
      </c>
      <c r="D43">
        <v>8.51</v>
      </c>
      <c r="E43" t="s">
        <v>151</v>
      </c>
      <c r="F43" t="s">
        <v>152</v>
      </c>
      <c r="G43" t="s">
        <v>150</v>
      </c>
      <c r="H43" t="s">
        <v>149</v>
      </c>
    </row>
    <row r="44" spans="1:8" x14ac:dyDescent="0.25">
      <c r="A44" t="s">
        <v>239</v>
      </c>
      <c r="B44">
        <v>8.09</v>
      </c>
      <c r="C44">
        <v>6.4</v>
      </c>
      <c r="D44">
        <v>8.51</v>
      </c>
      <c r="E44" t="s">
        <v>151</v>
      </c>
      <c r="F44" t="s">
        <v>152</v>
      </c>
      <c r="G44" t="s">
        <v>150</v>
      </c>
      <c r="H44" t="s">
        <v>223</v>
      </c>
    </row>
    <row r="45" spans="1:8" x14ac:dyDescent="0.25">
      <c r="A45" t="s">
        <v>239</v>
      </c>
      <c r="B45">
        <v>8.09</v>
      </c>
      <c r="C45">
        <v>6.4</v>
      </c>
      <c r="D45">
        <v>8.51</v>
      </c>
      <c r="E45" t="s">
        <v>151</v>
      </c>
      <c r="F45" t="s">
        <v>152</v>
      </c>
      <c r="G45" t="s">
        <v>150</v>
      </c>
      <c r="H45" t="s">
        <v>207</v>
      </c>
    </row>
    <row r="46" spans="1:8" x14ac:dyDescent="0.25">
      <c r="A46" t="s">
        <v>239</v>
      </c>
      <c r="B46">
        <v>8.09</v>
      </c>
      <c r="C46">
        <v>6.4</v>
      </c>
      <c r="D46">
        <v>8.51</v>
      </c>
      <c r="E46" t="s">
        <v>151</v>
      </c>
      <c r="F46" t="s">
        <v>152</v>
      </c>
      <c r="G46" t="s">
        <v>150</v>
      </c>
      <c r="H46" t="s">
        <v>210</v>
      </c>
    </row>
    <row r="47" spans="1:8" x14ac:dyDescent="0.25">
      <c r="A47" t="s">
        <v>239</v>
      </c>
      <c r="B47">
        <v>8.09</v>
      </c>
      <c r="C47">
        <v>6.4</v>
      </c>
      <c r="D47">
        <v>8.51</v>
      </c>
      <c r="E47" t="s">
        <v>151</v>
      </c>
      <c r="F47" t="s">
        <v>152</v>
      </c>
      <c r="G47" t="s">
        <v>150</v>
      </c>
      <c r="H47" t="s">
        <v>227</v>
      </c>
    </row>
    <row r="48" spans="1:8" x14ac:dyDescent="0.25">
      <c r="A48" t="s">
        <v>239</v>
      </c>
      <c r="B48">
        <v>8.09</v>
      </c>
      <c r="C48">
        <v>6.4</v>
      </c>
      <c r="D48">
        <v>8.51</v>
      </c>
      <c r="E48" t="s">
        <v>151</v>
      </c>
      <c r="F48" t="s">
        <v>152</v>
      </c>
      <c r="G48" t="s">
        <v>150</v>
      </c>
      <c r="H48" t="s">
        <v>209</v>
      </c>
    </row>
    <row r="49" spans="1:8" x14ac:dyDescent="0.25">
      <c r="A49" t="s">
        <v>239</v>
      </c>
      <c r="B49">
        <v>8.09</v>
      </c>
      <c r="C49">
        <v>6.4</v>
      </c>
      <c r="D49">
        <v>8.51</v>
      </c>
      <c r="E49" t="s">
        <v>151</v>
      </c>
      <c r="F49" t="s">
        <v>152</v>
      </c>
      <c r="G49" t="s">
        <v>150</v>
      </c>
      <c r="H49" t="s">
        <v>228</v>
      </c>
    </row>
    <row r="50" spans="1:8" x14ac:dyDescent="0.25">
      <c r="A50" t="s">
        <v>250</v>
      </c>
      <c r="B50">
        <v>8.09</v>
      </c>
      <c r="C50">
        <v>5.4</v>
      </c>
      <c r="D50">
        <v>8.51</v>
      </c>
      <c r="E50" t="s">
        <v>151</v>
      </c>
      <c r="F50" t="s">
        <v>152</v>
      </c>
      <c r="G50" t="s">
        <v>150</v>
      </c>
      <c r="H50" t="s">
        <v>226</v>
      </c>
    </row>
    <row r="51" spans="1:8" x14ac:dyDescent="0.25">
      <c r="A51" t="s">
        <v>250</v>
      </c>
      <c r="B51">
        <v>8.09</v>
      </c>
      <c r="C51">
        <v>5.4</v>
      </c>
      <c r="D51">
        <v>8.51</v>
      </c>
      <c r="E51" t="s">
        <v>151</v>
      </c>
      <c r="F51" t="s">
        <v>152</v>
      </c>
      <c r="G51" t="s">
        <v>150</v>
      </c>
      <c r="H51" t="s">
        <v>240</v>
      </c>
    </row>
    <row r="52" spans="1:8" x14ac:dyDescent="0.25">
      <c r="A52" t="s">
        <v>251</v>
      </c>
      <c r="B52">
        <v>8.09</v>
      </c>
      <c r="C52">
        <v>5.55</v>
      </c>
      <c r="D52">
        <v>8.51</v>
      </c>
      <c r="E52" t="s">
        <v>151</v>
      </c>
      <c r="F52" t="s">
        <v>152</v>
      </c>
      <c r="G52" t="s">
        <v>150</v>
      </c>
      <c r="H52" t="s">
        <v>226</v>
      </c>
    </row>
    <row r="53" spans="1:8" x14ac:dyDescent="0.25">
      <c r="A53" t="s">
        <v>251</v>
      </c>
      <c r="B53">
        <v>8.09</v>
      </c>
      <c r="C53">
        <v>5.55</v>
      </c>
      <c r="D53">
        <v>8.51</v>
      </c>
      <c r="E53" t="s">
        <v>151</v>
      </c>
      <c r="F53" t="s">
        <v>152</v>
      </c>
      <c r="G53" t="s">
        <v>150</v>
      </c>
      <c r="H53" t="s">
        <v>240</v>
      </c>
    </row>
    <row r="54" spans="1:8" x14ac:dyDescent="0.25">
      <c r="A54" t="s">
        <v>219</v>
      </c>
      <c r="B54">
        <v>8.09</v>
      </c>
      <c r="C54">
        <v>8.09</v>
      </c>
      <c r="D54">
        <v>8.51</v>
      </c>
      <c r="E54" t="s">
        <v>151</v>
      </c>
      <c r="F54" t="s">
        <v>154</v>
      </c>
      <c r="G54" t="s">
        <v>153</v>
      </c>
      <c r="H54" t="s">
        <v>175</v>
      </c>
    </row>
    <row r="55" spans="1:8" x14ac:dyDescent="0.25">
      <c r="A55" t="s">
        <v>205</v>
      </c>
      <c r="B55">
        <v>3.66</v>
      </c>
      <c r="C55">
        <v>4.66</v>
      </c>
      <c r="D55">
        <v>5.66</v>
      </c>
      <c r="E55" t="s">
        <v>151</v>
      </c>
      <c r="F55" t="s">
        <v>154</v>
      </c>
      <c r="G55" t="s">
        <v>153</v>
      </c>
      <c r="H55" t="s">
        <v>206</v>
      </c>
    </row>
    <row r="56" spans="1:8" x14ac:dyDescent="0.25">
      <c r="A56" t="s">
        <v>208</v>
      </c>
      <c r="B56">
        <v>3.66</v>
      </c>
      <c r="C56">
        <v>3.66</v>
      </c>
      <c r="D56">
        <v>4.66</v>
      </c>
      <c r="E56" t="s">
        <v>151</v>
      </c>
      <c r="F56" t="s">
        <v>154</v>
      </c>
      <c r="G56" t="s">
        <v>153</v>
      </c>
      <c r="H56" t="s">
        <v>206</v>
      </c>
    </row>
  </sheetData>
  <sheetProtection algorithmName="SHA-512" hashValue="3YhfiyWNJ/T7s4cFuUVFuaAfa3NDpoqBD30ogvyAh8CALmktmveGvrCPDMjdeZ6fhdgBXSgCUjE54GJx2kg6yg==" saltValue="f6O5d+q2CgEeZ1epbDp+jA==" spinCount="100000" sheet="1" objects="1" scenarios="1" formatCells="0" formatColumns="0" formatRows="0" sort="0" autoFilter="0"/>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32"/>
  <sheetViews>
    <sheetView zoomScaleNormal="100" workbookViewId="0">
      <selection activeCell="F18" sqref="F18"/>
    </sheetView>
  </sheetViews>
  <sheetFormatPr defaultRowHeight="15" x14ac:dyDescent="0.25"/>
  <cols>
    <col min="2" max="2" width="12.5703125" customWidth="1"/>
    <col min="3" max="3" width="8.140625" customWidth="1"/>
    <col min="5" max="5" width="32.5703125" customWidth="1"/>
    <col min="6" max="6" width="11.140625" customWidth="1"/>
    <col min="7" max="8" width="10.85546875" bestFit="1" customWidth="1"/>
    <col min="9" max="9" width="10.5703125" customWidth="1"/>
    <col min="12" max="12" width="9.140625" hidden="1" customWidth="1"/>
    <col min="13" max="13" width="10.28515625" hidden="1" customWidth="1"/>
    <col min="14" max="15" width="9.140625" hidden="1" customWidth="1"/>
  </cols>
  <sheetData>
    <row r="1" spans="1:15" ht="16.5" thickBot="1" x14ac:dyDescent="0.3">
      <c r="A1" s="78" t="s">
        <v>137</v>
      </c>
      <c r="B1" s="127">
        <f ca="1">TODAY()</f>
        <v>45924</v>
      </c>
      <c r="C1" s="128"/>
    </row>
    <row r="2" spans="1:15" ht="15.75" x14ac:dyDescent="0.25">
      <c r="A2" s="136" t="s">
        <v>204</v>
      </c>
      <c r="B2" s="136"/>
      <c r="C2" s="136"/>
      <c r="D2" s="136"/>
      <c r="E2" s="136"/>
    </row>
    <row r="3" spans="1:15" ht="15.75" x14ac:dyDescent="0.25">
      <c r="A3" s="135" t="s">
        <v>201</v>
      </c>
      <c r="B3" s="135"/>
      <c r="C3" s="135"/>
      <c r="D3" s="135"/>
      <c r="E3" s="1" t="s">
        <v>203</v>
      </c>
    </row>
    <row r="4" spans="1:15" ht="15.75" thickBot="1" x14ac:dyDescent="0.3"/>
    <row r="5" spans="1:15" ht="19.5" thickBot="1" x14ac:dyDescent="0.35">
      <c r="A5" s="79" t="s">
        <v>45</v>
      </c>
      <c r="F5" s="132" t="s">
        <v>64</v>
      </c>
      <c r="G5" s="133"/>
      <c r="H5" s="133"/>
      <c r="I5" s="134"/>
      <c r="L5" s="132" t="s">
        <v>33</v>
      </c>
      <c r="M5" s="133"/>
      <c r="N5" s="134"/>
    </row>
    <row r="6" spans="1:15" x14ac:dyDescent="0.25">
      <c r="E6" s="89"/>
      <c r="F6" s="45"/>
      <c r="G6" s="89"/>
      <c r="H6" s="89"/>
      <c r="I6" s="45"/>
      <c r="J6" s="5"/>
    </row>
    <row r="7" spans="1:15" x14ac:dyDescent="0.25">
      <c r="A7" s="84" t="s">
        <v>34</v>
      </c>
      <c r="F7" s="86" t="s">
        <v>0</v>
      </c>
      <c r="G7" s="86" t="s">
        <v>1</v>
      </c>
      <c r="H7" s="86" t="s">
        <v>196</v>
      </c>
      <c r="I7" s="86" t="s">
        <v>197</v>
      </c>
    </row>
    <row r="8" spans="1:15" ht="17.25" x14ac:dyDescent="0.3">
      <c r="A8" s="90" t="s">
        <v>63</v>
      </c>
      <c r="B8" s="91"/>
      <c r="E8" s="92"/>
      <c r="F8" s="16"/>
      <c r="G8" s="16"/>
      <c r="H8" s="16"/>
      <c r="I8" s="16"/>
      <c r="J8" s="29" t="s">
        <v>138</v>
      </c>
      <c r="M8" s="7">
        <f>SUM(F8+G8+H8+I8)</f>
        <v>0</v>
      </c>
    </row>
    <row r="9" spans="1:15" ht="17.25" x14ac:dyDescent="0.3">
      <c r="A9" s="90" t="s">
        <v>43</v>
      </c>
      <c r="B9" s="91"/>
      <c r="D9" s="94"/>
      <c r="E9" s="92"/>
      <c r="F9" s="16"/>
      <c r="G9" s="16"/>
      <c r="H9" s="16"/>
      <c r="I9" s="16"/>
      <c r="J9" s="15"/>
      <c r="M9" s="7">
        <f t="shared" ref="M9:M13" si="0">SUM(F9+G9+H9+I9)</f>
        <v>0</v>
      </c>
    </row>
    <row r="10" spans="1:15" ht="17.25" x14ac:dyDescent="0.3">
      <c r="A10" s="90" t="s">
        <v>44</v>
      </c>
      <c r="B10" s="91"/>
      <c r="D10" s="94"/>
      <c r="E10" s="92"/>
      <c r="F10" s="16"/>
      <c r="G10" s="16"/>
      <c r="H10" s="16"/>
      <c r="I10" s="16"/>
      <c r="J10" s="15"/>
      <c r="M10" s="7">
        <f t="shared" si="0"/>
        <v>0</v>
      </c>
    </row>
    <row r="11" spans="1:15" ht="17.25" x14ac:dyDescent="0.3">
      <c r="A11" s="90" t="s">
        <v>73</v>
      </c>
      <c r="B11" s="91"/>
      <c r="D11" s="94"/>
      <c r="E11" s="92"/>
      <c r="F11" s="16"/>
      <c r="G11" s="16"/>
      <c r="H11" s="16"/>
      <c r="I11" s="16"/>
      <c r="J11" s="15"/>
      <c r="M11" s="7">
        <f t="shared" si="0"/>
        <v>0</v>
      </c>
    </row>
    <row r="12" spans="1:15" ht="17.25" x14ac:dyDescent="0.3">
      <c r="A12" s="90" t="s">
        <v>35</v>
      </c>
      <c r="B12" s="91"/>
      <c r="D12" s="94"/>
      <c r="E12" s="92"/>
      <c r="F12" s="16"/>
      <c r="G12" s="16"/>
      <c r="H12" s="16"/>
      <c r="I12" s="16"/>
      <c r="J12" s="15"/>
      <c r="M12" s="7">
        <f t="shared" si="0"/>
        <v>0</v>
      </c>
    </row>
    <row r="13" spans="1:15" ht="18" thickBot="1" x14ac:dyDescent="0.35">
      <c r="A13" s="90" t="s">
        <v>77</v>
      </c>
      <c r="B13" s="91"/>
      <c r="D13" s="94"/>
      <c r="E13" s="92"/>
      <c r="F13" s="20"/>
      <c r="G13" s="20"/>
      <c r="H13" s="20"/>
      <c r="I13" s="20"/>
      <c r="J13" s="15"/>
      <c r="M13" s="21">
        <f t="shared" si="0"/>
        <v>0</v>
      </c>
    </row>
    <row r="14" spans="1:15" ht="18" thickBot="1" x14ac:dyDescent="0.35">
      <c r="A14" s="95" t="s">
        <v>37</v>
      </c>
      <c r="B14" s="91"/>
      <c r="D14" s="94"/>
      <c r="E14" s="92"/>
      <c r="F14" s="18">
        <f>SUM(F8:F13)</f>
        <v>0</v>
      </c>
      <c r="G14" s="18">
        <f>SUM(G8:G13)</f>
        <v>0</v>
      </c>
      <c r="H14" s="18">
        <f>SUM(H8:H13)</f>
        <v>0</v>
      </c>
      <c r="I14" s="18">
        <f>SUM(I8:I13)</f>
        <v>0</v>
      </c>
      <c r="J14" s="15"/>
      <c r="M14" s="18">
        <f>SUM(F14+G14+H14+I14)</f>
        <v>0</v>
      </c>
    </row>
    <row r="15" spans="1:15" ht="18" thickBot="1" x14ac:dyDescent="0.35">
      <c r="A15" s="95"/>
      <c r="B15" s="91"/>
      <c r="D15" s="94"/>
      <c r="E15" s="92"/>
      <c r="F15" s="30"/>
      <c r="G15" s="93"/>
      <c r="H15" s="93"/>
      <c r="I15" s="30"/>
      <c r="J15" s="15"/>
      <c r="M15" s="30"/>
    </row>
    <row r="16" spans="1:15" ht="15.75" customHeight="1" thickBot="1" x14ac:dyDescent="0.3">
      <c r="E16" s="92"/>
      <c r="F16" s="132" t="s">
        <v>32</v>
      </c>
      <c r="G16" s="133"/>
      <c r="H16" s="133"/>
      <c r="I16" s="134"/>
      <c r="J16" s="6"/>
      <c r="L16" s="132" t="s">
        <v>33</v>
      </c>
      <c r="M16" s="133"/>
      <c r="N16" s="134"/>
      <c r="O16" s="31" t="s">
        <v>65</v>
      </c>
    </row>
    <row r="17" spans="1:15" x14ac:dyDescent="0.25">
      <c r="A17" s="84" t="s">
        <v>38</v>
      </c>
      <c r="E17" s="92"/>
      <c r="F17" s="92"/>
      <c r="G17" s="92"/>
      <c r="H17" s="96"/>
      <c r="I17" s="92"/>
      <c r="J17" s="6"/>
    </row>
    <row r="18" spans="1:15" ht="17.25" x14ac:dyDescent="0.3">
      <c r="A18" s="90" t="s">
        <v>160</v>
      </c>
      <c r="B18" s="91"/>
      <c r="D18" s="94"/>
      <c r="E18" s="92"/>
      <c r="F18" s="9"/>
      <c r="G18" s="93"/>
      <c r="H18" s="93"/>
      <c r="J18" s="15"/>
      <c r="M18" s="17">
        <f>IF($F18&gt;=$O18,$F18,IF(AND($O18&gt;=$F18,$E$3="Remortgage",$F18&gt;0),$F18,$O18))</f>
        <v>449.79999999999995</v>
      </c>
      <c r="O18" s="11">
        <f>VLOOKUP(Income!F17,'ONS Data'!A:I,4,FALSE)</f>
        <v>449.79999999999995</v>
      </c>
    </row>
    <row r="19" spans="1:15" ht="17.25" x14ac:dyDescent="0.3">
      <c r="A19" s="90" t="s">
        <v>39</v>
      </c>
      <c r="B19" s="91"/>
      <c r="D19" s="94"/>
      <c r="E19" s="92"/>
      <c r="F19" s="16"/>
      <c r="G19" s="93"/>
      <c r="H19" s="93"/>
      <c r="J19" s="15"/>
      <c r="M19" s="17">
        <f>SUM(F19)</f>
        <v>0</v>
      </c>
      <c r="O19" s="8"/>
    </row>
    <row r="20" spans="1:15" ht="18" thickBot="1" x14ac:dyDescent="0.35">
      <c r="A20" s="90" t="s">
        <v>40</v>
      </c>
      <c r="B20" s="91"/>
      <c r="D20" s="94"/>
      <c r="E20" s="92"/>
      <c r="F20" s="20"/>
      <c r="G20" s="93"/>
      <c r="H20" s="93"/>
      <c r="J20" s="15"/>
      <c r="M20" s="26">
        <f>SUM(F20)</f>
        <v>0</v>
      </c>
    </row>
    <row r="21" spans="1:15" ht="18" thickBot="1" x14ac:dyDescent="0.35">
      <c r="A21" s="95" t="s">
        <v>37</v>
      </c>
      <c r="B21" s="91"/>
      <c r="D21" s="94"/>
      <c r="E21" s="92"/>
      <c r="F21" s="18">
        <f>SUM(F18:F20)</f>
        <v>0</v>
      </c>
      <c r="G21" s="93"/>
      <c r="H21" s="93"/>
      <c r="J21" s="15"/>
      <c r="M21" s="18">
        <f>SUM(M18:M20)</f>
        <v>449.79999999999995</v>
      </c>
      <c r="O21" s="14"/>
    </row>
    <row r="22" spans="1:15" x14ac:dyDescent="0.25">
      <c r="E22" s="92"/>
      <c r="F22" s="92"/>
      <c r="G22" s="92"/>
      <c r="H22" s="96"/>
      <c r="J22" s="6"/>
    </row>
    <row r="23" spans="1:15" x14ac:dyDescent="0.25">
      <c r="A23" s="84" t="s">
        <v>41</v>
      </c>
      <c r="E23" s="92"/>
      <c r="F23" s="92"/>
      <c r="G23" s="92"/>
      <c r="H23" s="96"/>
      <c r="J23" s="6"/>
    </row>
    <row r="24" spans="1:15" ht="17.25" x14ac:dyDescent="0.3">
      <c r="A24" s="90" t="s">
        <v>162</v>
      </c>
      <c r="B24" s="91"/>
      <c r="E24" s="92"/>
      <c r="F24" s="9"/>
      <c r="G24" s="92"/>
      <c r="H24" s="92"/>
      <c r="J24" s="6"/>
      <c r="M24" s="17">
        <f>IF($F24&gt;=$O24,$F24,IF(AND($O24&gt;=$F24,$E$3="Remortgage",$F24&gt;0),$F24,$O24))</f>
        <v>207.13333333333333</v>
      </c>
      <c r="O24" s="10">
        <f>VLOOKUP(Income!F17,'ONS Data'!A:I,7,FALSE)</f>
        <v>207.13333333333333</v>
      </c>
    </row>
    <row r="25" spans="1:15" ht="17.25" x14ac:dyDescent="0.3">
      <c r="A25" s="90" t="s">
        <v>163</v>
      </c>
      <c r="B25" s="91"/>
      <c r="D25" s="94"/>
      <c r="E25" s="92"/>
      <c r="F25" s="9"/>
      <c r="G25" s="92"/>
      <c r="H25" s="92"/>
      <c r="J25" s="6"/>
      <c r="M25" s="17">
        <f>IF($F25&gt;=$O25,$F25,IF(AND($O25&gt;=$F25,$E$3="Remortgage",$F25&gt;0),$F25,$O25))</f>
        <v>30.333333333333332</v>
      </c>
      <c r="O25" s="12">
        <f>VLOOKUP(Income!F17,'ONS Data'!A:I,9,FALSE)</f>
        <v>30.333333333333332</v>
      </c>
    </row>
    <row r="26" spans="1:15" ht="17.25" x14ac:dyDescent="0.3">
      <c r="A26" s="90" t="s">
        <v>164</v>
      </c>
      <c r="B26" s="91"/>
      <c r="D26" s="94"/>
      <c r="E26" s="92"/>
      <c r="F26" s="9"/>
      <c r="G26" s="92"/>
      <c r="H26" s="92"/>
      <c r="J26" s="6"/>
      <c r="M26" s="17">
        <f>SUM(F26)</f>
        <v>0</v>
      </c>
      <c r="O26" s="11"/>
    </row>
    <row r="27" spans="1:15" ht="17.25" x14ac:dyDescent="0.3">
      <c r="A27" s="90" t="s">
        <v>165</v>
      </c>
      <c r="B27" s="91"/>
      <c r="D27" s="94"/>
      <c r="E27" s="92"/>
      <c r="F27" s="9"/>
      <c r="G27" s="92"/>
      <c r="H27" s="92"/>
      <c r="J27" s="6"/>
      <c r="M27" s="17">
        <f>IF($F27&gt;=$O27,$F27,IF(AND($O27&gt;=$F27,$E$3="Remortgage",$F27&gt;0),$F27,$O27))</f>
        <v>19.933333333333334</v>
      </c>
      <c r="O27" s="11">
        <f>VLOOKUP(Income!F17,'ONS Data'!A:I,6,FALSE)</f>
        <v>19.933333333333334</v>
      </c>
    </row>
    <row r="28" spans="1:15" ht="18" thickBot="1" x14ac:dyDescent="0.35">
      <c r="A28" s="90" t="s">
        <v>46</v>
      </c>
      <c r="B28" s="91"/>
      <c r="D28" s="94"/>
      <c r="E28" s="92"/>
      <c r="F28" s="19"/>
      <c r="G28" s="92"/>
      <c r="H28" s="92"/>
      <c r="J28" s="6"/>
      <c r="M28" s="26">
        <f>SUM(F28)</f>
        <v>0</v>
      </c>
      <c r="O28" s="13"/>
    </row>
    <row r="29" spans="1:15" ht="18" thickBot="1" x14ac:dyDescent="0.35">
      <c r="A29" s="95" t="s">
        <v>37</v>
      </c>
      <c r="B29" s="91"/>
      <c r="D29" s="94"/>
      <c r="E29" s="92"/>
      <c r="F29" s="18">
        <f>SUM(F24:F28)</f>
        <v>0</v>
      </c>
      <c r="G29" s="92"/>
      <c r="H29" s="92"/>
      <c r="J29" s="6"/>
      <c r="M29" s="18">
        <f>SUM(M24:M28)</f>
        <v>257.39999999999998</v>
      </c>
      <c r="O29" s="14"/>
    </row>
    <row r="31" spans="1:15" ht="15.75" thickBot="1" x14ac:dyDescent="0.3"/>
    <row r="32" spans="1:15" ht="16.5" thickBot="1" x14ac:dyDescent="0.3">
      <c r="A32" s="97" t="s">
        <v>42</v>
      </c>
      <c r="F32" s="22">
        <f>SUM(F14+G14+H14+I14+F21+F29)</f>
        <v>0</v>
      </c>
      <c r="M32" s="22">
        <f>SUM(M14+P14+M21+M29)</f>
        <v>707.19999999999993</v>
      </c>
    </row>
  </sheetData>
  <sheetProtection algorithmName="SHA-512" hashValue="JQrcFolafLBIZ3Rus+jatHLZl9Jf1XFcxHEp3BTt1WNJp9yhI3GogTgab47hVEXtsfko0KXGFZIY03SBZ176Ew==" saltValue="Ue8XwQvOTnHKL9mWALBuLQ==" spinCount="100000" sheet="1" selectLockedCells="1"/>
  <mergeCells count="7">
    <mergeCell ref="F5:I5"/>
    <mergeCell ref="L5:N5"/>
    <mergeCell ref="F16:I16"/>
    <mergeCell ref="L16:N16"/>
    <mergeCell ref="B1:C1"/>
    <mergeCell ref="A3:D3"/>
    <mergeCell ref="A2:E2"/>
  </mergeCells>
  <conditionalFormatting sqref="E3">
    <cfRule type="cellIs" dxfId="17" priority="1" operator="lessThanOrEqual">
      <formula>0</formula>
    </cfRule>
  </conditionalFormatting>
  <pageMargins left="0.70866141732283472" right="0.70866141732283472" top="0.74803149606299213" bottom="0.74803149606299213" header="0.31496062992125984" footer="0.31496062992125984"/>
  <pageSetup paperSize="9" scale="6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6F2C32B-C1AD-4174-885C-13CD10E2C6BD}">
          <x14:formula1>
            <xm:f>Lists2!$C$1:$C$2</xm:f>
          </x14:formula1>
          <xm:sqref>E3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39"/>
  <sheetViews>
    <sheetView tabSelected="1" zoomScaleNormal="100" workbookViewId="0">
      <selection activeCell="D3" sqref="D3:H3"/>
    </sheetView>
  </sheetViews>
  <sheetFormatPr defaultColWidth="9.140625" defaultRowHeight="15" x14ac:dyDescent="0.25"/>
  <cols>
    <col min="1" max="1" width="9.140625" style="68"/>
    <col min="2" max="2" width="10.5703125" style="68" customWidth="1"/>
    <col min="3" max="3" width="11" style="68" customWidth="1"/>
    <col min="4" max="5" width="9.140625" style="68"/>
    <col min="6" max="6" width="12.85546875" style="68" bestFit="1" customWidth="1"/>
    <col min="7" max="7" width="9.140625" style="68"/>
    <col min="8" max="8" width="22.42578125" style="68" customWidth="1"/>
    <col min="9" max="9" width="28.42578125" style="68" hidden="1" customWidth="1"/>
    <col min="10" max="10" width="21.140625" style="68" hidden="1" customWidth="1"/>
    <col min="11" max="11" width="5" style="68" hidden="1" customWidth="1"/>
    <col min="12" max="12" width="11.140625" style="68" hidden="1" customWidth="1"/>
    <col min="13" max="14" width="9.140625" style="68" customWidth="1"/>
    <col min="15" max="16384" width="9.140625" style="68"/>
  </cols>
  <sheetData>
    <row r="1" spans="1:13" ht="16.5" thickBot="1" x14ac:dyDescent="0.3">
      <c r="A1" s="78" t="s">
        <v>137</v>
      </c>
      <c r="B1" s="127">
        <f ca="1">TODAY()</f>
        <v>45924</v>
      </c>
      <c r="C1" s="128"/>
      <c r="D1"/>
      <c r="E1"/>
      <c r="F1"/>
      <c r="G1"/>
      <c r="H1"/>
      <c r="I1"/>
      <c r="J1"/>
      <c r="K1"/>
      <c r="L1"/>
      <c r="M1"/>
    </row>
    <row r="2" spans="1:13" ht="16.5" thickBot="1" x14ac:dyDescent="0.3">
      <c r="A2" s="136" t="s">
        <v>204</v>
      </c>
      <c r="B2" s="136"/>
      <c r="C2" s="136"/>
      <c r="D2" s="136"/>
      <c r="E2" s="136"/>
      <c r="F2"/>
      <c r="G2"/>
      <c r="H2"/>
      <c r="I2"/>
      <c r="J2"/>
      <c r="K2"/>
      <c r="L2"/>
      <c r="M2"/>
    </row>
    <row r="3" spans="1:13" ht="20.25" thickTop="1" thickBot="1" x14ac:dyDescent="0.35">
      <c r="A3" s="79" t="s">
        <v>53</v>
      </c>
      <c r="B3"/>
      <c r="C3"/>
      <c r="D3" s="139" t="s">
        <v>241</v>
      </c>
      <c r="E3" s="140"/>
      <c r="F3" s="140"/>
      <c r="G3" s="140"/>
      <c r="H3" s="141"/>
      <c r="I3"/>
      <c r="J3"/>
      <c r="K3"/>
      <c r="L3"/>
      <c r="M3"/>
    </row>
    <row r="4" spans="1:13" ht="19.5" thickTop="1" x14ac:dyDescent="0.3">
      <c r="A4" s="79"/>
      <c r="B4"/>
      <c r="C4"/>
      <c r="D4" s="29"/>
      <c r="E4" s="29"/>
      <c r="F4" s="29"/>
      <c r="G4"/>
      <c r="H4"/>
      <c r="I4"/>
      <c r="J4"/>
      <c r="K4"/>
      <c r="L4"/>
      <c r="M4"/>
    </row>
    <row r="5" spans="1:13" ht="16.5" thickBot="1" x14ac:dyDescent="0.3">
      <c r="A5" s="109" t="s">
        <v>23</v>
      </c>
      <c r="B5"/>
      <c r="C5" s="29"/>
      <c r="D5" s="45"/>
      <c r="E5" s="45"/>
      <c r="F5" s="45"/>
      <c r="G5" s="45"/>
      <c r="H5"/>
      <c r="I5"/>
      <c r="J5"/>
      <c r="K5"/>
      <c r="L5"/>
      <c r="M5"/>
    </row>
    <row r="6" spans="1:13" x14ac:dyDescent="0.25">
      <c r="A6" s="110" t="s">
        <v>24</v>
      </c>
      <c r="B6" s="111"/>
      <c r="C6" s="45"/>
      <c r="D6" s="45"/>
      <c r="E6" s="45"/>
      <c r="F6" s="45"/>
      <c r="G6" s="45"/>
      <c r="H6" s="51"/>
      <c r="I6"/>
      <c r="J6"/>
      <c r="K6"/>
      <c r="L6"/>
      <c r="M6"/>
    </row>
    <row r="7" spans="1:13" x14ac:dyDescent="0.25">
      <c r="A7" s="110" t="s">
        <v>25</v>
      </c>
      <c r="B7" s="111"/>
      <c r="C7" s="45"/>
      <c r="D7" s="45"/>
      <c r="E7" s="45"/>
      <c r="F7" s="45"/>
      <c r="G7" s="45"/>
      <c r="H7" s="53">
        <f>VLOOKUP($D$3,Table_Query_from_DPR_DMART[],2,FALSE)</f>
        <v>8.09</v>
      </c>
      <c r="I7"/>
      <c r="J7"/>
      <c r="K7"/>
      <c r="L7"/>
      <c r="M7"/>
    </row>
    <row r="8" spans="1:13" x14ac:dyDescent="0.25">
      <c r="A8" s="110" t="s">
        <v>26</v>
      </c>
      <c r="B8" s="111"/>
      <c r="C8" s="45"/>
      <c r="D8" s="45"/>
      <c r="E8" s="45"/>
      <c r="F8" s="45"/>
      <c r="G8" s="45"/>
      <c r="H8" s="52"/>
      <c r="I8"/>
      <c r="J8"/>
      <c r="K8"/>
      <c r="L8"/>
      <c r="M8"/>
    </row>
    <row r="9" spans="1:13" x14ac:dyDescent="0.25">
      <c r="A9" s="110" t="s">
        <v>157</v>
      </c>
      <c r="B9" s="111"/>
      <c r="C9" s="45"/>
      <c r="D9" s="45"/>
      <c r="E9" s="45"/>
      <c r="F9" s="45"/>
      <c r="G9" s="45"/>
      <c r="H9" s="67" t="str">
        <f>VLOOKUP($D$3,Table_Query_from_DPR_DMART[],8,FALSE)</f>
        <v>Residential</v>
      </c>
      <c r="I9"/>
      <c r="J9"/>
      <c r="K9" s="80"/>
      <c r="L9"/>
      <c r="M9"/>
    </row>
    <row r="10" spans="1:13" x14ac:dyDescent="0.25">
      <c r="A10" s="110" t="s">
        <v>155</v>
      </c>
      <c r="B10" s="111"/>
      <c r="C10" s="45"/>
      <c r="D10" s="45"/>
      <c r="E10" s="45"/>
      <c r="F10" s="45"/>
      <c r="G10" s="45"/>
      <c r="H10" s="67" t="str">
        <f>VLOOKUP($D$3,Table_Query_from_DPR_DMART[],6,FALSE)</f>
        <v>Fixed</v>
      </c>
      <c r="I10"/>
      <c r="J10"/>
      <c r="K10" s="80"/>
      <c r="L10"/>
      <c r="M10"/>
    </row>
    <row r="11" spans="1:13" x14ac:dyDescent="0.25">
      <c r="A11" s="110" t="s">
        <v>156</v>
      </c>
      <c r="B11" s="111"/>
      <c r="C11" s="45"/>
      <c r="D11" s="45"/>
      <c r="E11" s="45"/>
      <c r="F11" s="45"/>
      <c r="G11" s="45"/>
      <c r="H11" s="67" t="str">
        <f>VLOOKUP($D$3,Table_Query_from_DPR_DMART[],5,FALSE)</f>
        <v>2yr</v>
      </c>
      <c r="I11"/>
      <c r="J11"/>
      <c r="K11" s="80"/>
      <c r="L11"/>
      <c r="M11"/>
    </row>
    <row r="12" spans="1:13" x14ac:dyDescent="0.25">
      <c r="A12" s="110" t="s">
        <v>83</v>
      </c>
      <c r="B12" s="111"/>
      <c r="C12" s="45"/>
      <c r="D12" s="45"/>
      <c r="E12" s="45"/>
      <c r="F12" s="45"/>
      <c r="G12" s="45"/>
      <c r="H12" s="67" t="str">
        <f>IF(VLOOKUP($D$3,Table_Query_from_DPR_DMART[],5,FALSE)="5YR","Y","N")</f>
        <v>N</v>
      </c>
      <c r="I12"/>
      <c r="J12"/>
      <c r="K12"/>
      <c r="L12"/>
      <c r="M12"/>
    </row>
    <row r="13" spans="1:13" x14ac:dyDescent="0.25">
      <c r="A13" s="110" t="s">
        <v>27</v>
      </c>
      <c r="B13" s="111"/>
      <c r="C13" s="45"/>
      <c r="D13" s="45"/>
      <c r="E13" s="45"/>
      <c r="F13" s="45"/>
      <c r="G13" s="45"/>
      <c r="H13" s="67" t="str">
        <f>IF(VLOOKUP($D$3,Table_Query_from_DPR_DMART[],5,FALSE)="5YR",VLOOKUP($D$3,Table_Query_from_DPR_DMART[],3,FALSE),"-")</f>
        <v>-</v>
      </c>
      <c r="I13"/>
      <c r="J13"/>
      <c r="K13"/>
      <c r="L13"/>
      <c r="M13"/>
    </row>
    <row r="14" spans="1:13" x14ac:dyDescent="0.25">
      <c r="A14" s="110" t="s">
        <v>28</v>
      </c>
      <c r="B14" s="111"/>
      <c r="C14" s="45"/>
      <c r="D14" s="45"/>
      <c r="E14" s="45"/>
      <c r="F14" s="45"/>
      <c r="G14" s="45"/>
      <c r="H14" s="67">
        <f>VLOOKUP($D$3,Table_Query_from_DPR_DMART[],4,FALSE)</f>
        <v>8.51</v>
      </c>
      <c r="I14"/>
      <c r="J14"/>
      <c r="K14"/>
      <c r="L14"/>
      <c r="M14"/>
    </row>
    <row r="15" spans="1:13" ht="30" customHeight="1" x14ac:dyDescent="0.25">
      <c r="A15" s="142" t="s">
        <v>188</v>
      </c>
      <c r="B15" s="142"/>
      <c r="C15" s="142"/>
      <c r="D15" s="142"/>
      <c r="E15" s="142"/>
      <c r="F15" s="142"/>
      <c r="G15" s="45"/>
      <c r="H15" s="122"/>
      <c r="I15"/>
      <c r="J15"/>
      <c r="K15"/>
      <c r="L15"/>
      <c r="M15"/>
    </row>
    <row r="16" spans="1:13" ht="15.75" thickBot="1" x14ac:dyDescent="0.3">
      <c r="A16" s="110" t="s">
        <v>84</v>
      </c>
      <c r="B16" s="111"/>
      <c r="C16" s="45"/>
      <c r="D16" s="45"/>
      <c r="E16" s="45"/>
      <c r="F16" s="45"/>
      <c r="G16" s="45"/>
      <c r="H16" s="123"/>
      <c r="I16"/>
      <c r="J16"/>
      <c r="K16"/>
      <c r="L16"/>
      <c r="M16"/>
    </row>
    <row r="17" spans="1:16" ht="5.25" customHeight="1" x14ac:dyDescent="0.25">
      <c r="A17" s="121"/>
      <c r="B17" s="121"/>
      <c r="C17" s="121"/>
      <c r="D17" s="121"/>
      <c r="E17" s="121"/>
      <c r="F17" s="121"/>
      <c r="G17" s="121"/>
      <c r="H17" s="81"/>
      <c r="I17" s="120"/>
      <c r="J17"/>
      <c r="K17"/>
      <c r="L17"/>
      <c r="M17"/>
    </row>
    <row r="18" spans="1:16" x14ac:dyDescent="0.25">
      <c r="A18"/>
      <c r="B18"/>
      <c r="C18"/>
      <c r="D18"/>
      <c r="E18"/>
      <c r="F18"/>
      <c r="G18"/>
      <c r="H18" s="81" t="s">
        <v>52</v>
      </c>
      <c r="I18"/>
      <c r="J18"/>
      <c r="K18" s="82"/>
      <c r="L18"/>
      <c r="M18"/>
    </row>
    <row r="19" spans="1:16" ht="10.5" customHeight="1" thickBot="1" x14ac:dyDescent="0.3">
      <c r="A19"/>
      <c r="B19"/>
      <c r="C19"/>
      <c r="D19"/>
      <c r="E19" s="29"/>
      <c r="F19" s="29"/>
      <c r="G19"/>
      <c r="H19" s="50"/>
      <c r="I19"/>
      <c r="J19"/>
      <c r="K19"/>
      <c r="L19"/>
      <c r="M19"/>
    </row>
    <row r="20" spans="1:16" ht="15.75" thickBot="1" x14ac:dyDescent="0.3">
      <c r="A20" s="83"/>
      <c r="B20"/>
      <c r="C20"/>
      <c r="D20" s="84" t="s">
        <v>29</v>
      </c>
      <c r="E20" s="29"/>
      <c r="F20" s="29"/>
      <c r="G20"/>
      <c r="H20" s="34" t="b">
        <f>IF(H16="C",PMT(H14/100/12,H8*12,(0-H6),0),IF(H16="I",H6*H14/100/12))</f>
        <v>0</v>
      </c>
      <c r="I20"/>
      <c r="J20"/>
      <c r="K20" s="80"/>
      <c r="L20"/>
      <c r="M20"/>
    </row>
    <row r="21" spans="1:16" ht="9.75" customHeight="1" thickBot="1" x14ac:dyDescent="0.3">
      <c r="A21"/>
      <c r="B21"/>
      <c r="C21"/>
      <c r="D21"/>
      <c r="E21" s="29"/>
      <c r="F21" s="29"/>
      <c r="G21"/>
      <c r="H21"/>
      <c r="I21" s="84"/>
      <c r="J21"/>
      <c r="K21" s="80"/>
      <c r="L21"/>
      <c r="M21"/>
    </row>
    <row r="22" spans="1:16" ht="15.75" thickBot="1" x14ac:dyDescent="0.3">
      <c r="A22"/>
      <c r="B22"/>
      <c r="C22"/>
      <c r="D22" s="84" t="s">
        <v>30</v>
      </c>
      <c r="E22" s="29"/>
      <c r="F22" s="29"/>
      <c r="G22"/>
      <c r="H22" s="32" t="e">
        <f>SUM(H20/((Income!F14+Income!H14+Income!J14+Income!L14)-Expenditure!M14))</f>
        <v>#DIV/0!</v>
      </c>
      <c r="I22"/>
      <c r="J22"/>
      <c r="K22" s="80"/>
      <c r="L22"/>
      <c r="M22"/>
    </row>
    <row r="23" spans="1:16" ht="9.75" customHeight="1" thickBot="1" x14ac:dyDescent="0.3">
      <c r="A23"/>
      <c r="B23"/>
      <c r="C23"/>
      <c r="D23"/>
      <c r="E23" s="29"/>
      <c r="F23" s="29"/>
      <c r="G23"/>
      <c r="H23"/>
      <c r="I23"/>
      <c r="J23"/>
      <c r="K23"/>
      <c r="L23"/>
      <c r="M23"/>
    </row>
    <row r="24" spans="1:16" ht="15.75" thickBot="1" x14ac:dyDescent="0.3">
      <c r="A24"/>
      <c r="B24"/>
      <c r="C24"/>
      <c r="D24" s="84" t="s">
        <v>50</v>
      </c>
      <c r="E24" s="29"/>
      <c r="F24" s="29"/>
      <c r="G24"/>
      <c r="H24" s="31" t="e">
        <f>IF(H22&lt;=0%,"DECLINE",IF(H22&lt;=45.49999999%,"PASS",IF(H22&gt;55.49999999%,"DECLINE","REFER")))</f>
        <v>#DIV/0!</v>
      </c>
      <c r="I24"/>
      <c r="J24"/>
      <c r="K24" s="82"/>
      <c r="L24"/>
      <c r="M24"/>
    </row>
    <row r="25" spans="1:16" ht="9.75" customHeight="1" thickBot="1" x14ac:dyDescent="0.3">
      <c r="A25"/>
      <c r="B25"/>
      <c r="C25"/>
      <c r="D25"/>
      <c r="E25" s="29"/>
      <c r="F25" s="29"/>
      <c r="G25"/>
      <c r="H25"/>
      <c r="I25"/>
      <c r="J25"/>
      <c r="K25" s="85"/>
      <c r="L25"/>
      <c r="M25" s="108"/>
      <c r="N25" s="71"/>
      <c r="O25" s="71"/>
      <c r="P25" s="71"/>
    </row>
    <row r="26" spans="1:16" ht="15.75" customHeight="1" thickBot="1" x14ac:dyDescent="0.3">
      <c r="A26"/>
      <c r="B26"/>
      <c r="C26"/>
      <c r="D26" s="8" t="s">
        <v>66</v>
      </c>
      <c r="E26" s="29"/>
      <c r="F26" s="29"/>
      <c r="G26"/>
      <c r="H26" s="44">
        <f>IF(Expenditure!M32&gt;Expenditure!F32,(Income!F14+Income!H14+Income!J14+Income!L14)-(Expenditure!M32+Results!H20),(Income!F14+Income!H14+Income!J14+Income!L14)-(Expenditure!F32+Results!H20))</f>
        <v>-707.19999999999993</v>
      </c>
      <c r="I26"/>
      <c r="J26"/>
      <c r="K26" s="138"/>
      <c r="L26" s="137"/>
      <c r="M26"/>
    </row>
    <row r="27" spans="1:16" ht="9.75" customHeight="1" thickBot="1" x14ac:dyDescent="0.3">
      <c r="A27"/>
      <c r="B27"/>
      <c r="C27"/>
      <c r="D27"/>
      <c r="E27" s="29"/>
      <c r="F27" s="29"/>
      <c r="G27"/>
      <c r="H27"/>
      <c r="I27"/>
      <c r="J27"/>
      <c r="K27" s="138"/>
      <c r="L27" s="137"/>
      <c r="M27"/>
    </row>
    <row r="28" spans="1:16" ht="15.75" customHeight="1" thickBot="1" x14ac:dyDescent="0.3">
      <c r="A28"/>
      <c r="B28"/>
      <c r="C28"/>
      <c r="D28" s="8" t="s">
        <v>51</v>
      </c>
      <c r="E28" s="29"/>
      <c r="F28" s="29"/>
      <c r="G28"/>
      <c r="H28" s="54" t="str">
        <f>IF(Calc!A1&lt;=0%,"DECLINE",IF(Calc!A1&gt;100%,"DECLINE","PASS"))</f>
        <v>DECLINE</v>
      </c>
      <c r="I28"/>
      <c r="J28"/>
      <c r="K28"/>
      <c r="L28"/>
      <c r="M28"/>
    </row>
    <row r="29" spans="1:16" ht="9.75" customHeight="1" thickBot="1" x14ac:dyDescent="0.3">
      <c r="A29"/>
      <c r="B29"/>
      <c r="C29"/>
      <c r="D29" s="8"/>
      <c r="E29" s="29"/>
      <c r="F29" s="29"/>
      <c r="G29"/>
      <c r="H29" s="118"/>
      <c r="I29"/>
      <c r="J29"/>
      <c r="K29"/>
      <c r="L29"/>
      <c r="M29"/>
    </row>
    <row r="30" spans="1:16" ht="15.75" thickBot="1" x14ac:dyDescent="0.3">
      <c r="A30"/>
      <c r="B30"/>
      <c r="C30"/>
      <c r="D30" s="84" t="s">
        <v>31</v>
      </c>
      <c r="E30"/>
      <c r="F30"/>
      <c r="G30"/>
      <c r="H30" s="33" t="e">
        <f>SUM(H6)/((Income!F12+Income!H12+Income!J12+Income!L12))</f>
        <v>#DIV/0!</v>
      </c>
      <c r="I30" s="86" t="str">
        <f>IF(Income!H12&gt;0,"Joint","Sole")</f>
        <v>Sole</v>
      </c>
      <c r="J30"/>
      <c r="K30" s="118"/>
      <c r="L30" s="108"/>
      <c r="M30" s="88"/>
      <c r="N30" s="69"/>
      <c r="O30" s="69"/>
      <c r="P30" s="69"/>
    </row>
    <row r="31" spans="1:16" ht="9.75" customHeight="1" thickBot="1" x14ac:dyDescent="0.3">
      <c r="A31"/>
      <c r="B31"/>
      <c r="C31"/>
      <c r="D31"/>
      <c r="E31"/>
      <c r="F31"/>
      <c r="G31"/>
      <c r="H31"/>
      <c r="I31"/>
      <c r="J31"/>
      <c r="K31" s="87"/>
      <c r="L31" s="88"/>
      <c r="M31" s="88"/>
      <c r="N31" s="69"/>
      <c r="O31" s="69"/>
      <c r="P31" s="69"/>
    </row>
    <row r="32" spans="1:16" ht="15.75" thickBot="1" x14ac:dyDescent="0.3">
      <c r="D32" s="112" t="s">
        <v>187</v>
      </c>
      <c r="H32" s="31" t="e">
        <f>IF(AND(H30&gt;=4.5,H15="Y"),"DECLINE","PASS")</f>
        <v>#DIV/0!</v>
      </c>
    </row>
    <row r="37" spans="11:16" ht="15" customHeight="1" x14ac:dyDescent="0.25">
      <c r="M37" s="69"/>
      <c r="N37" s="69"/>
      <c r="O37" s="69"/>
      <c r="P37" s="69"/>
    </row>
    <row r="38" spans="11:16" x14ac:dyDescent="0.25">
      <c r="M38" s="69"/>
      <c r="N38" s="69"/>
      <c r="O38" s="69"/>
      <c r="P38" s="69"/>
    </row>
    <row r="39" spans="11:16" x14ac:dyDescent="0.25">
      <c r="K39" s="70"/>
      <c r="L39" s="69"/>
      <c r="M39" s="69"/>
      <c r="N39" s="69"/>
      <c r="O39" s="69"/>
      <c r="P39" s="69"/>
    </row>
  </sheetData>
  <sheetProtection algorithmName="SHA-512" hashValue="FRQbwGLRZvmPDeHzAgi3JUg+iRiDL2MARKgRjxUJ6tLuXYu94VspQqPnRmLKDM5xAnJtFqeH+I9pFeYZ5v07NA==" saltValue="xGu40Qtee8Mw2FfM59NS3Q==" spinCount="100000" sheet="1" objects="1" scenarios="1" selectLockedCells="1"/>
  <protectedRanges>
    <protectedRange sqref="H6:H8" name="Range5"/>
    <protectedRange sqref="H9:H16" name="Range5_1"/>
  </protectedRanges>
  <mergeCells count="6">
    <mergeCell ref="L26:L27"/>
    <mergeCell ref="K26:K27"/>
    <mergeCell ref="B1:C1"/>
    <mergeCell ref="D3:H3"/>
    <mergeCell ref="A15:F15"/>
    <mergeCell ref="A2:E2"/>
  </mergeCells>
  <conditionalFormatting sqref="H24">
    <cfRule type="cellIs" dxfId="16" priority="15" operator="equal">
      <formula>"REFER"</formula>
    </cfRule>
    <cfRule type="containsText" dxfId="15" priority="17" stopIfTrue="1" operator="containsText" text="DECLINE">
      <formula>NOT(ISERROR(SEARCH("DECLINE",H24)))</formula>
    </cfRule>
    <cfRule type="containsText" dxfId="14" priority="18" stopIfTrue="1" operator="containsText" text="PASS">
      <formula>NOT(ISERROR(SEARCH("PASS",H24)))</formula>
    </cfRule>
  </conditionalFormatting>
  <conditionalFormatting sqref="H28:H29">
    <cfRule type="cellIs" dxfId="13" priority="13" operator="equal">
      <formula>"DECLINE"</formula>
    </cfRule>
    <cfRule type="cellIs" dxfId="12" priority="14" operator="equal">
      <formula>"PASS"</formula>
    </cfRule>
  </conditionalFormatting>
  <conditionalFormatting sqref="H32">
    <cfRule type="cellIs" dxfId="11" priority="8" operator="equal">
      <formula>"REFER"</formula>
    </cfRule>
    <cfRule type="containsText" dxfId="10" priority="9" stopIfTrue="1" operator="containsText" text="DECLINE">
      <formula>NOT(ISERROR(SEARCH("DECLINE",H32)))</formula>
    </cfRule>
    <cfRule type="containsText" dxfId="9" priority="10" stopIfTrue="1" operator="containsText" text="PASS">
      <formula>NOT(ISERROR(SEARCH("PASS",H32)))</formula>
    </cfRule>
  </conditionalFormatting>
  <conditionalFormatting sqref="H15:H16">
    <cfRule type="containsBlanks" dxfId="8" priority="7">
      <formula>LEN(TRIM(H15))=0</formula>
    </cfRule>
  </conditionalFormatting>
  <conditionalFormatting sqref="H8">
    <cfRule type="cellIs" dxfId="7" priority="3" operator="lessThanOrEqual">
      <formula>0</formula>
    </cfRule>
  </conditionalFormatting>
  <conditionalFormatting sqref="H6">
    <cfRule type="cellIs" dxfId="6" priority="1" operator="lessThanOrEqual">
      <formula>0</formula>
    </cfRule>
  </conditionalFormatting>
  <dataValidations count="1">
    <dataValidation type="list" allowBlank="1" showInputMessage="1" showErrorMessage="1" sqref="D3:H3" xr:uid="{B1B372C3-23CD-4C06-A74A-1881523C8758}">
      <formula1>INDIRECT("ProductData!$A$2:$A$56")</formula1>
    </dataValidation>
  </dataValidations>
  <pageMargins left="0.70866141732283472" right="0.70866141732283472" top="0.74803149606299213" bottom="0.74803149606299213" header="0.31496062992125984" footer="0.31496062992125984"/>
  <pageSetup paperSize="9" scale="69" orientation="landscape" r:id="rId1"/>
  <ignoredErrors>
    <ignoredError sqref="I3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5" r:id="rId4" name="Button 3">
              <controlPr defaultSize="0" print="0" autoFill="0" autoPict="0" macro="[0]!RefreshData">
                <anchor moveWithCells="1" sizeWithCells="1">
                  <from>
                    <xdr:col>9</xdr:col>
                    <xdr:colOff>0</xdr:colOff>
                    <xdr:row>1</xdr:row>
                    <xdr:rowOff>161925</xdr:rowOff>
                  </from>
                  <to>
                    <xdr:col>10</xdr:col>
                    <xdr:colOff>209550</xdr:colOff>
                    <xdr:row>3</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7215A617-98E9-4911-B3B6-D2862C336F05}">
          <x14:formula1>
            <xm:f>Lists2!$A$1:$A$2</xm:f>
          </x14:formula1>
          <xm:sqref>H15</xm:sqref>
        </x14:dataValidation>
        <x14:dataValidation type="list" allowBlank="1" showInputMessage="1" showErrorMessage="1" xr:uid="{1A7519C2-72EC-4E64-8CD7-3DB88A6A3D7B}">
          <x14:formula1>
            <xm:f>Lists2!$B$1:$B$2</xm:f>
          </x14:formula1>
          <xm:sqref>H16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60"/>
  <sheetViews>
    <sheetView workbookViewId="0">
      <selection activeCell="E30" sqref="E30"/>
    </sheetView>
  </sheetViews>
  <sheetFormatPr defaultRowHeight="15" x14ac:dyDescent="0.25"/>
  <cols>
    <col min="1" max="1" width="10.85546875" bestFit="1" customWidth="1"/>
    <col min="2" max="2" width="18.7109375" bestFit="1" customWidth="1"/>
    <col min="3" max="3" width="16.5703125" customWidth="1"/>
    <col min="4" max="4" width="38" bestFit="1" customWidth="1"/>
    <col min="5" max="5" width="14" bestFit="1" customWidth="1"/>
    <col min="6" max="6" width="9" bestFit="1" customWidth="1"/>
    <col min="7" max="7" width="13.85546875" bestFit="1" customWidth="1"/>
    <col min="8" max="8" width="16.28515625" bestFit="1" customWidth="1"/>
    <col min="9" max="11" width="10.5703125" bestFit="1" customWidth="1"/>
    <col min="12" max="12" width="11.5703125" bestFit="1" customWidth="1"/>
  </cols>
  <sheetData>
    <row r="1" spans="1:12" x14ac:dyDescent="0.25">
      <c r="A1" s="45" t="s">
        <v>5</v>
      </c>
      <c r="B1" s="45"/>
      <c r="C1" s="45"/>
      <c r="D1" s="46" t="s">
        <v>159</v>
      </c>
      <c r="E1" s="46" t="s">
        <v>6</v>
      </c>
      <c r="F1" s="46" t="s">
        <v>7</v>
      </c>
      <c r="G1" s="46" t="s">
        <v>8</v>
      </c>
      <c r="H1" s="46" t="s">
        <v>9</v>
      </c>
      <c r="I1" s="46" t="s">
        <v>10</v>
      </c>
      <c r="J1" s="46" t="s">
        <v>11</v>
      </c>
      <c r="K1" s="46" t="s">
        <v>12</v>
      </c>
      <c r="L1" s="36" t="s">
        <v>3</v>
      </c>
    </row>
    <row r="2" spans="1:12" x14ac:dyDescent="0.25">
      <c r="A2" s="45"/>
      <c r="B2" s="45"/>
      <c r="C2" s="45"/>
      <c r="D2" s="45"/>
      <c r="E2" s="45"/>
      <c r="F2" s="45"/>
      <c r="G2" s="45"/>
      <c r="H2" s="45"/>
      <c r="I2" s="45"/>
      <c r="J2" s="45"/>
      <c r="K2" s="45"/>
    </row>
    <row r="3" spans="1:12" x14ac:dyDescent="0.25">
      <c r="A3" s="45"/>
      <c r="B3" s="46"/>
      <c r="C3" s="45"/>
      <c r="D3" s="45"/>
      <c r="E3" s="45"/>
      <c r="F3" s="45"/>
      <c r="G3" s="45"/>
      <c r="H3" s="45"/>
      <c r="I3" s="45"/>
      <c r="J3" s="45"/>
      <c r="K3" s="45"/>
    </row>
    <row r="4" spans="1:12" x14ac:dyDescent="0.25">
      <c r="A4" s="45"/>
      <c r="B4" s="46"/>
      <c r="C4" s="45"/>
      <c r="D4" s="47"/>
      <c r="E4" s="47"/>
      <c r="F4" s="47"/>
      <c r="G4" s="47"/>
      <c r="H4" s="47"/>
      <c r="I4" s="47"/>
      <c r="J4" s="45"/>
      <c r="K4" s="45"/>
    </row>
    <row r="5" spans="1:12" x14ac:dyDescent="0.25">
      <c r="A5" s="45"/>
      <c r="B5" s="46"/>
      <c r="C5" s="45"/>
      <c r="D5" s="48"/>
      <c r="E5" s="45"/>
      <c r="F5" s="45"/>
      <c r="G5" s="45"/>
      <c r="H5" s="45"/>
      <c r="I5" s="45"/>
      <c r="J5" s="45"/>
      <c r="K5" s="45"/>
    </row>
    <row r="6" spans="1:12" x14ac:dyDescent="0.25">
      <c r="A6" s="45"/>
      <c r="B6" s="43" t="s">
        <v>176</v>
      </c>
      <c r="C6" s="45"/>
      <c r="D6" s="49">
        <v>103.8</v>
      </c>
      <c r="E6" s="49">
        <v>15.6</v>
      </c>
      <c r="F6" s="49">
        <v>4.5999999999999996</v>
      </c>
      <c r="G6" s="49">
        <v>47.8</v>
      </c>
      <c r="H6" s="49">
        <v>12.4</v>
      </c>
      <c r="I6" s="49">
        <v>7</v>
      </c>
      <c r="J6" s="49">
        <v>27</v>
      </c>
      <c r="K6" s="49">
        <v>38.4</v>
      </c>
      <c r="L6" s="49">
        <f>SUM(D6:K6)</f>
        <v>256.59999999999997</v>
      </c>
    </row>
    <row r="7" spans="1:12" x14ac:dyDescent="0.25">
      <c r="A7" s="45"/>
      <c r="B7" s="43" t="s">
        <v>177</v>
      </c>
      <c r="C7" s="45"/>
      <c r="D7" s="49">
        <v>144.30000000000001</v>
      </c>
      <c r="E7" s="49">
        <v>25.4</v>
      </c>
      <c r="F7" s="49">
        <v>6.1</v>
      </c>
      <c r="G7" s="49">
        <v>90.2</v>
      </c>
      <c r="H7" s="49">
        <v>21.5</v>
      </c>
      <c r="I7" s="49">
        <v>17.7</v>
      </c>
      <c r="J7" s="49">
        <v>59.8</v>
      </c>
      <c r="K7" s="49">
        <v>81.599999999999994</v>
      </c>
      <c r="L7" s="49">
        <f t="shared" ref="L7:L12" si="0">SUM(D7:K7)</f>
        <v>446.6</v>
      </c>
    </row>
    <row r="8" spans="1:12" x14ac:dyDescent="0.25">
      <c r="A8" s="45"/>
      <c r="B8" s="43" t="s">
        <v>178</v>
      </c>
      <c r="C8" s="45"/>
      <c r="D8" s="49">
        <v>138.4</v>
      </c>
      <c r="E8" s="49">
        <v>20.5</v>
      </c>
      <c r="F8" s="49">
        <v>3.6</v>
      </c>
      <c r="G8" s="49">
        <v>63</v>
      </c>
      <c r="H8" s="49">
        <v>9</v>
      </c>
      <c r="I8" s="49">
        <v>16.600000000000001</v>
      </c>
      <c r="J8" s="49">
        <v>36</v>
      </c>
      <c r="K8" s="49">
        <v>57.4</v>
      </c>
      <c r="L8" s="49">
        <f t="shared" si="0"/>
        <v>344.5</v>
      </c>
    </row>
    <row r="9" spans="1:12" x14ac:dyDescent="0.25">
      <c r="A9" s="45"/>
      <c r="B9" s="43" t="s">
        <v>179</v>
      </c>
      <c r="C9" s="45"/>
      <c r="D9" s="49">
        <v>186.1</v>
      </c>
      <c r="E9" s="49">
        <v>25.5</v>
      </c>
      <c r="F9" s="49">
        <v>2.7</v>
      </c>
      <c r="G9" s="49">
        <v>91.8</v>
      </c>
      <c r="H9" s="49">
        <v>11.2</v>
      </c>
      <c r="I9" s="49">
        <v>23.6</v>
      </c>
      <c r="J9" s="49">
        <v>38.4</v>
      </c>
      <c r="K9" s="49">
        <v>46.2</v>
      </c>
      <c r="L9" s="49">
        <f t="shared" si="0"/>
        <v>425.49999999999994</v>
      </c>
    </row>
    <row r="10" spans="1:12" x14ac:dyDescent="0.25">
      <c r="A10" s="45"/>
      <c r="B10" s="43" t="s">
        <v>180</v>
      </c>
      <c r="C10" s="45"/>
      <c r="D10" s="49">
        <v>152.5</v>
      </c>
      <c r="E10" s="49">
        <v>29.6</v>
      </c>
      <c r="F10" s="49">
        <v>10.6</v>
      </c>
      <c r="G10" s="49">
        <v>106.2</v>
      </c>
      <c r="H10" s="49">
        <v>15.2</v>
      </c>
      <c r="I10" s="49">
        <v>21.1</v>
      </c>
      <c r="J10" s="49">
        <v>63.1</v>
      </c>
      <c r="K10" s="49">
        <v>81.3</v>
      </c>
      <c r="L10" s="49">
        <f t="shared" si="0"/>
        <v>479.6</v>
      </c>
    </row>
    <row r="11" spans="1:12" x14ac:dyDescent="0.25">
      <c r="A11" s="45"/>
      <c r="B11" s="43" t="s">
        <v>181</v>
      </c>
      <c r="C11" s="45"/>
      <c r="D11" s="49">
        <v>145.9</v>
      </c>
      <c r="E11" s="49">
        <v>32.1</v>
      </c>
      <c r="F11" s="49">
        <v>9.6</v>
      </c>
      <c r="G11" s="49">
        <v>126.3</v>
      </c>
      <c r="H11" s="49">
        <v>16.100000000000001</v>
      </c>
      <c r="I11" s="49">
        <v>28</v>
      </c>
      <c r="J11" s="49">
        <v>86.9</v>
      </c>
      <c r="K11" s="49">
        <v>105.2</v>
      </c>
      <c r="L11" s="49">
        <f t="shared" si="0"/>
        <v>550.1</v>
      </c>
    </row>
    <row r="12" spans="1:12" x14ac:dyDescent="0.25">
      <c r="A12" s="45"/>
      <c r="B12" s="43" t="s">
        <v>182</v>
      </c>
      <c r="C12" s="45"/>
      <c r="D12" s="49">
        <v>175</v>
      </c>
      <c r="E12" s="49">
        <v>30.6</v>
      </c>
      <c r="F12" s="49">
        <v>5.6</v>
      </c>
      <c r="G12" s="49">
        <v>149.5</v>
      </c>
      <c r="H12" s="49">
        <v>15.8</v>
      </c>
      <c r="I12" s="49">
        <v>29.2</v>
      </c>
      <c r="J12" s="49">
        <v>69.099999999999994</v>
      </c>
      <c r="K12" s="49">
        <v>86</v>
      </c>
      <c r="L12" s="49">
        <f t="shared" si="0"/>
        <v>560.79999999999995</v>
      </c>
    </row>
    <row r="13" spans="1:12" x14ac:dyDescent="0.25">
      <c r="A13" s="45"/>
      <c r="B13" s="77" t="s">
        <v>184</v>
      </c>
      <c r="C13" s="45"/>
      <c r="D13" s="49">
        <v>72.2</v>
      </c>
      <c r="E13" s="49">
        <v>13.8</v>
      </c>
      <c r="F13" s="49">
        <v>5.5</v>
      </c>
      <c r="G13" s="49">
        <v>48.1</v>
      </c>
      <c r="H13" s="49">
        <v>9</v>
      </c>
      <c r="I13" s="49">
        <v>6</v>
      </c>
      <c r="J13" s="49">
        <v>19.399999999999999</v>
      </c>
      <c r="K13" s="49">
        <v>17.2</v>
      </c>
      <c r="L13" s="49">
        <f>SUM(D13:K13)</f>
        <v>191.2</v>
      </c>
    </row>
    <row r="14" spans="1:12" x14ac:dyDescent="0.25">
      <c r="A14" s="45"/>
      <c r="B14" s="77" t="s">
        <v>186</v>
      </c>
      <c r="C14" s="45"/>
      <c r="D14" s="49">
        <v>89.2</v>
      </c>
      <c r="E14" s="49">
        <v>20.5</v>
      </c>
      <c r="F14" s="49">
        <v>10.1</v>
      </c>
      <c r="G14" s="49">
        <v>90.8</v>
      </c>
      <c r="H14" s="49">
        <v>17.8</v>
      </c>
      <c r="I14" s="49">
        <v>10.3</v>
      </c>
      <c r="J14" s="49">
        <v>47.3</v>
      </c>
      <c r="K14" s="49">
        <v>52.3</v>
      </c>
      <c r="L14" s="49">
        <f>SUM(D14:K14)</f>
        <v>338.3</v>
      </c>
    </row>
    <row r="15" spans="1:12" x14ac:dyDescent="0.25">
      <c r="A15" s="45"/>
      <c r="B15" s="46"/>
      <c r="C15" s="45"/>
      <c r="D15" s="72">
        <v>1207.4000000000001</v>
      </c>
      <c r="E15" s="72">
        <v>213.6</v>
      </c>
      <c r="F15" s="72">
        <v>58.400000000000006</v>
      </c>
      <c r="G15" s="72">
        <v>813.69999999999993</v>
      </c>
      <c r="H15" s="72">
        <v>128</v>
      </c>
      <c r="I15" s="72">
        <v>159.5</v>
      </c>
      <c r="J15" s="72">
        <v>446.99999999999994</v>
      </c>
      <c r="K15" s="72">
        <v>565.6</v>
      </c>
      <c r="L15" s="72">
        <f>SUM(L6:L14)</f>
        <v>3593.2</v>
      </c>
    </row>
    <row r="16" spans="1:12" x14ac:dyDescent="0.25">
      <c r="A16" s="45"/>
      <c r="B16" s="46"/>
      <c r="C16" s="45"/>
      <c r="D16" s="72"/>
      <c r="E16" s="45"/>
      <c r="F16" s="45"/>
      <c r="G16" s="72"/>
      <c r="H16" s="45"/>
      <c r="I16" s="45"/>
      <c r="J16" s="45"/>
      <c r="K16" s="45"/>
    </row>
    <row r="17" spans="1:12" x14ac:dyDescent="0.25">
      <c r="A17" s="50" t="s">
        <v>13</v>
      </c>
      <c r="B17" s="46"/>
      <c r="C17" s="45"/>
      <c r="D17" s="72"/>
      <c r="E17" s="45"/>
      <c r="F17" s="72"/>
      <c r="G17" s="72"/>
      <c r="H17" s="45"/>
      <c r="I17" s="45"/>
      <c r="J17" s="45"/>
      <c r="K17" s="45"/>
    </row>
    <row r="18" spans="1:12" x14ac:dyDescent="0.25">
      <c r="A18" s="45" t="s">
        <v>14</v>
      </c>
      <c r="B18" s="43" t="s">
        <v>176</v>
      </c>
      <c r="C18" s="45"/>
      <c r="D18" s="49">
        <v>449.79999999999995</v>
      </c>
      <c r="E18" s="49">
        <v>67.599999999999994</v>
      </c>
      <c r="F18" s="49">
        <v>19.933333333333334</v>
      </c>
      <c r="G18" s="49">
        <v>207.13333333333333</v>
      </c>
      <c r="H18" s="49">
        <v>53.733333333333341</v>
      </c>
      <c r="I18" s="49">
        <v>30.333333333333332</v>
      </c>
      <c r="J18" s="49">
        <v>117</v>
      </c>
      <c r="K18" s="49">
        <v>166.4</v>
      </c>
      <c r="L18" s="49">
        <f>SUM(D18:K18)</f>
        <v>1111.9333333333334</v>
      </c>
    </row>
    <row r="19" spans="1:12" x14ac:dyDescent="0.25">
      <c r="A19" s="45" t="s">
        <v>15</v>
      </c>
      <c r="B19" s="43" t="s">
        <v>177</v>
      </c>
      <c r="C19" s="45"/>
      <c r="D19" s="49">
        <v>625.30000000000007</v>
      </c>
      <c r="E19" s="49">
        <v>110.06666666666666</v>
      </c>
      <c r="F19" s="49">
        <v>26.433333333333334</v>
      </c>
      <c r="G19" s="49">
        <v>390.86666666666673</v>
      </c>
      <c r="H19" s="49">
        <v>93.166666666666671</v>
      </c>
      <c r="I19" s="49">
        <v>76.7</v>
      </c>
      <c r="J19" s="49">
        <v>259.13333333333333</v>
      </c>
      <c r="K19" s="49">
        <v>353.59999999999997</v>
      </c>
      <c r="L19" s="49">
        <f t="shared" ref="L19:L26" si="1">SUM(D19:K19)</f>
        <v>1935.2666666666669</v>
      </c>
    </row>
    <row r="20" spans="1:12" x14ac:dyDescent="0.25">
      <c r="A20" s="45" t="s">
        <v>16</v>
      </c>
      <c r="B20" s="43" t="s">
        <v>178</v>
      </c>
      <c r="C20" s="45"/>
      <c r="D20" s="49">
        <v>599.73333333333335</v>
      </c>
      <c r="E20" s="49">
        <v>88.833333333333329</v>
      </c>
      <c r="F20" s="49">
        <v>15.600000000000001</v>
      </c>
      <c r="G20" s="49">
        <v>273</v>
      </c>
      <c r="H20" s="49">
        <v>39</v>
      </c>
      <c r="I20" s="49">
        <v>71.933333333333337</v>
      </c>
      <c r="J20" s="49">
        <v>156</v>
      </c>
      <c r="K20" s="49">
        <v>248.73333333333332</v>
      </c>
      <c r="L20" s="49">
        <f t="shared" si="1"/>
        <v>1492.8333333333335</v>
      </c>
    </row>
    <row r="21" spans="1:12" x14ac:dyDescent="0.25">
      <c r="A21" s="45" t="s">
        <v>17</v>
      </c>
      <c r="B21" s="43" t="s">
        <v>179</v>
      </c>
      <c r="C21" s="45"/>
      <c r="D21" s="49">
        <v>806.43333333333328</v>
      </c>
      <c r="E21" s="49">
        <v>110.5</v>
      </c>
      <c r="F21" s="49">
        <v>11.700000000000001</v>
      </c>
      <c r="G21" s="49">
        <v>397.79999999999995</v>
      </c>
      <c r="H21" s="49">
        <v>48.533333333333331</v>
      </c>
      <c r="I21" s="49">
        <v>102.26666666666667</v>
      </c>
      <c r="J21" s="49">
        <v>166.4</v>
      </c>
      <c r="K21" s="49">
        <v>200.20000000000002</v>
      </c>
      <c r="L21" s="49">
        <f t="shared" si="1"/>
        <v>1843.8333333333335</v>
      </c>
    </row>
    <row r="22" spans="1:12" x14ac:dyDescent="0.25">
      <c r="A22" s="45" t="s">
        <v>18</v>
      </c>
      <c r="B22" s="43" t="s">
        <v>180</v>
      </c>
      <c r="C22" s="45"/>
      <c r="D22" s="49">
        <v>660.83333333333337</v>
      </c>
      <c r="E22" s="49">
        <v>128.26666666666668</v>
      </c>
      <c r="F22" s="49">
        <v>45.93333333333333</v>
      </c>
      <c r="G22" s="49">
        <v>460.20000000000005</v>
      </c>
      <c r="H22" s="49">
        <v>65.86666666666666</v>
      </c>
      <c r="I22" s="49">
        <v>91.433333333333337</v>
      </c>
      <c r="J22" s="49">
        <v>273.43333333333334</v>
      </c>
      <c r="K22" s="49">
        <v>352.29999999999995</v>
      </c>
      <c r="L22" s="49">
        <f t="shared" si="1"/>
        <v>2078.2666666666664</v>
      </c>
    </row>
    <row r="23" spans="1:12" x14ac:dyDescent="0.25">
      <c r="A23" s="45" t="s">
        <v>19</v>
      </c>
      <c r="B23" s="43" t="s">
        <v>181</v>
      </c>
      <c r="C23" s="45"/>
      <c r="D23" s="49">
        <v>632.23333333333335</v>
      </c>
      <c r="E23" s="49">
        <v>139.1</v>
      </c>
      <c r="F23" s="49">
        <v>41.6</v>
      </c>
      <c r="G23" s="49">
        <v>547.29999999999995</v>
      </c>
      <c r="H23" s="49">
        <v>69.766666666666666</v>
      </c>
      <c r="I23" s="49">
        <v>121.33333333333333</v>
      </c>
      <c r="J23" s="49">
        <v>376.56666666666666</v>
      </c>
      <c r="K23" s="49">
        <v>455.86666666666673</v>
      </c>
      <c r="L23" s="49">
        <f t="shared" si="1"/>
        <v>2383.7666666666664</v>
      </c>
    </row>
    <row r="24" spans="1:12" x14ac:dyDescent="0.25">
      <c r="A24" s="45" t="s">
        <v>20</v>
      </c>
      <c r="B24" s="43" t="s">
        <v>182</v>
      </c>
      <c r="C24" s="45"/>
      <c r="D24" s="49">
        <v>758.33333333333337</v>
      </c>
      <c r="E24" s="49">
        <v>132.6</v>
      </c>
      <c r="F24" s="49">
        <v>24.266666666666666</v>
      </c>
      <c r="G24" s="49">
        <v>647.83333333333337</v>
      </c>
      <c r="H24" s="49">
        <v>68.466666666666669</v>
      </c>
      <c r="I24" s="49">
        <v>126.53333333333332</v>
      </c>
      <c r="J24" s="49">
        <v>299.43333333333334</v>
      </c>
      <c r="K24" s="49">
        <v>372.66666666666669</v>
      </c>
      <c r="L24" s="49">
        <f t="shared" si="1"/>
        <v>2430.1333333333332</v>
      </c>
    </row>
    <row r="25" spans="1:12" x14ac:dyDescent="0.25">
      <c r="A25" s="45" t="s">
        <v>183</v>
      </c>
      <c r="B25" s="77" t="s">
        <v>184</v>
      </c>
      <c r="D25" s="49">
        <v>312.86666666666667</v>
      </c>
      <c r="E25" s="49">
        <v>59.800000000000004</v>
      </c>
      <c r="F25" s="49">
        <v>23.833333333333332</v>
      </c>
      <c r="G25" s="49">
        <v>208.43333333333337</v>
      </c>
      <c r="H25" s="49">
        <v>39</v>
      </c>
      <c r="I25" s="49">
        <v>26</v>
      </c>
      <c r="J25" s="49">
        <v>84.066666666666663</v>
      </c>
      <c r="K25" s="49">
        <v>74.533333333333331</v>
      </c>
      <c r="L25" s="49">
        <f t="shared" si="1"/>
        <v>828.5333333333333</v>
      </c>
    </row>
    <row r="26" spans="1:12" x14ac:dyDescent="0.25">
      <c r="A26" s="45" t="s">
        <v>185</v>
      </c>
      <c r="B26" s="77" t="s">
        <v>186</v>
      </c>
      <c r="D26" s="49">
        <v>386.53333333333336</v>
      </c>
      <c r="E26" s="49">
        <v>88.833333333333329</v>
      </c>
      <c r="F26" s="49">
        <v>43.766666666666659</v>
      </c>
      <c r="G26" s="49">
        <v>393.46666666666664</v>
      </c>
      <c r="H26" s="49">
        <v>77.13333333333334</v>
      </c>
      <c r="I26" s="49">
        <v>44.633333333333333</v>
      </c>
      <c r="J26" s="49">
        <v>204.96666666666667</v>
      </c>
      <c r="K26" s="49">
        <v>226.63333333333333</v>
      </c>
      <c r="L26" s="49">
        <f t="shared" si="1"/>
        <v>1465.9666666666667</v>
      </c>
    </row>
    <row r="27" spans="1:12" x14ac:dyDescent="0.25">
      <c r="D27" s="76"/>
      <c r="E27" s="76"/>
      <c r="F27" s="76"/>
      <c r="G27" s="76"/>
      <c r="H27" s="76"/>
      <c r="I27" s="76"/>
      <c r="J27" s="76"/>
      <c r="K27" s="76"/>
      <c r="L27" s="76"/>
    </row>
    <row r="28" spans="1:12" x14ac:dyDescent="0.25">
      <c r="D28" s="76"/>
      <c r="E28" s="76"/>
      <c r="F28" s="76"/>
      <c r="G28" s="76"/>
      <c r="H28" s="76"/>
      <c r="I28" s="76"/>
      <c r="J28" s="76"/>
      <c r="K28" s="76"/>
    </row>
    <row r="29" spans="1:12" x14ac:dyDescent="0.25">
      <c r="D29" s="76"/>
      <c r="E29" s="76"/>
      <c r="F29" s="76"/>
      <c r="G29" s="76"/>
      <c r="H29" s="76"/>
      <c r="I29" s="76"/>
      <c r="J29" s="76"/>
      <c r="K29" s="76"/>
    </row>
    <row r="30" spans="1:12" x14ac:dyDescent="0.25">
      <c r="D30" s="76"/>
      <c r="E30" s="76"/>
      <c r="F30" s="76"/>
      <c r="G30" s="76"/>
      <c r="H30" s="76"/>
      <c r="I30" s="76"/>
      <c r="J30" s="76"/>
      <c r="K30" s="76"/>
    </row>
    <row r="31" spans="1:12" x14ac:dyDescent="0.25">
      <c r="D31" s="76"/>
      <c r="E31" s="76"/>
      <c r="F31" s="76"/>
      <c r="G31" s="76"/>
      <c r="H31" s="76"/>
      <c r="I31" s="76"/>
      <c r="J31" s="76"/>
      <c r="K31" s="76"/>
    </row>
    <row r="32" spans="1:12" x14ac:dyDescent="0.25">
      <c r="D32" s="76"/>
      <c r="E32" s="76"/>
      <c r="F32" s="76"/>
      <c r="G32" s="76"/>
      <c r="H32" s="76"/>
      <c r="I32" s="76"/>
      <c r="J32" s="76"/>
      <c r="K32" s="76"/>
    </row>
    <row r="33" spans="4:12" x14ac:dyDescent="0.25">
      <c r="D33" s="76"/>
      <c r="E33" s="76"/>
      <c r="F33" s="76"/>
      <c r="G33" s="76"/>
      <c r="H33" s="76"/>
      <c r="I33" s="76"/>
      <c r="J33" s="76"/>
      <c r="K33" s="76"/>
    </row>
    <row r="34" spans="4:12" x14ac:dyDescent="0.25">
      <c r="D34" s="76"/>
      <c r="E34" s="76"/>
      <c r="F34" s="76"/>
      <c r="G34" s="76"/>
      <c r="H34" s="76"/>
      <c r="I34" s="76"/>
      <c r="J34" s="76"/>
      <c r="K34" s="76"/>
    </row>
    <row r="35" spans="4:12" x14ac:dyDescent="0.25">
      <c r="D35" s="76"/>
      <c r="E35" s="76"/>
      <c r="F35" s="76"/>
      <c r="G35" s="76"/>
      <c r="H35" s="76"/>
      <c r="I35" s="76"/>
      <c r="J35" s="76"/>
      <c r="K35" s="76"/>
    </row>
    <row r="36" spans="4:12" x14ac:dyDescent="0.25">
      <c r="D36" s="76"/>
      <c r="E36" s="76"/>
      <c r="F36" s="76"/>
      <c r="G36" s="76"/>
      <c r="H36" s="76"/>
      <c r="I36" s="76"/>
      <c r="J36" s="76"/>
      <c r="K36" s="76"/>
    </row>
    <row r="37" spans="4:12" x14ac:dyDescent="0.25">
      <c r="D37" s="76"/>
      <c r="E37" s="76"/>
      <c r="F37" s="76"/>
      <c r="G37" s="76"/>
      <c r="H37" s="76"/>
      <c r="I37" s="76"/>
      <c r="J37" s="76"/>
      <c r="K37" s="76"/>
    </row>
    <row r="38" spans="4:12" x14ac:dyDescent="0.25">
      <c r="D38" s="76"/>
      <c r="E38" s="76"/>
      <c r="F38" s="76"/>
      <c r="G38" s="76"/>
      <c r="H38" s="76"/>
      <c r="I38" s="76"/>
      <c r="J38" s="76"/>
      <c r="K38" s="76"/>
      <c r="L38" s="76"/>
    </row>
    <row r="39" spans="4:12" x14ac:dyDescent="0.25">
      <c r="D39" s="76"/>
      <c r="E39" s="76"/>
      <c r="F39" s="76"/>
      <c r="G39" s="76"/>
      <c r="H39" s="76"/>
      <c r="I39" s="76"/>
      <c r="J39" s="76"/>
      <c r="K39" s="76"/>
      <c r="L39" s="76"/>
    </row>
    <row r="40" spans="4:12" x14ac:dyDescent="0.25">
      <c r="D40" s="76"/>
      <c r="E40" s="76"/>
      <c r="F40" s="76"/>
      <c r="G40" s="76"/>
      <c r="H40" s="76"/>
      <c r="I40" s="76"/>
      <c r="J40" s="76"/>
      <c r="K40" s="76"/>
      <c r="L40" s="76"/>
    </row>
    <row r="41" spans="4:12" x14ac:dyDescent="0.25">
      <c r="D41" s="76"/>
      <c r="E41" s="76"/>
      <c r="F41" s="76"/>
      <c r="G41" s="76"/>
      <c r="H41" s="76"/>
      <c r="I41" s="76"/>
      <c r="J41" s="76"/>
      <c r="K41" s="76"/>
      <c r="L41" s="76"/>
    </row>
    <row r="42" spans="4:12" x14ac:dyDescent="0.25">
      <c r="D42" s="76"/>
      <c r="E42" s="76"/>
      <c r="F42" s="76"/>
      <c r="G42" s="76"/>
      <c r="H42" s="76"/>
      <c r="I42" s="76"/>
      <c r="J42" s="76"/>
      <c r="K42" s="76"/>
      <c r="L42" s="76"/>
    </row>
    <row r="43" spans="4:12" x14ac:dyDescent="0.25">
      <c r="D43" s="76"/>
      <c r="E43" s="76"/>
      <c r="F43" s="76"/>
      <c r="G43" s="76"/>
      <c r="H43" s="76"/>
      <c r="I43" s="76"/>
      <c r="J43" s="76"/>
      <c r="K43" s="76"/>
      <c r="L43" s="76"/>
    </row>
    <row r="44" spans="4:12" x14ac:dyDescent="0.25">
      <c r="D44" s="76"/>
      <c r="E44" s="76"/>
      <c r="F44" s="76"/>
      <c r="G44" s="76"/>
      <c r="H44" s="76"/>
      <c r="I44" s="76"/>
      <c r="J44" s="76"/>
      <c r="K44" s="76"/>
      <c r="L44" s="76"/>
    </row>
    <row r="45" spans="4:12" x14ac:dyDescent="0.25">
      <c r="D45" s="76"/>
      <c r="E45" s="76"/>
      <c r="F45" s="76"/>
      <c r="G45" s="76"/>
      <c r="H45" s="76"/>
      <c r="I45" s="76"/>
      <c r="J45" s="76"/>
      <c r="K45" s="76"/>
      <c r="L45" s="76"/>
    </row>
    <row r="46" spans="4:12" x14ac:dyDescent="0.25">
      <c r="D46" s="76"/>
      <c r="E46" s="76"/>
      <c r="F46" s="76"/>
      <c r="G46" s="76"/>
      <c r="H46" s="76"/>
      <c r="I46" s="76"/>
      <c r="J46" s="76"/>
      <c r="K46" s="76"/>
      <c r="L46" s="76"/>
    </row>
    <row r="47" spans="4:12" x14ac:dyDescent="0.25">
      <c r="D47" s="76"/>
      <c r="E47" s="76"/>
      <c r="F47" s="76"/>
      <c r="G47" s="76"/>
      <c r="H47" s="76"/>
      <c r="I47" s="76"/>
      <c r="J47" s="76"/>
      <c r="K47" s="76"/>
      <c r="L47" s="76"/>
    </row>
    <row r="48" spans="4:12" x14ac:dyDescent="0.25">
      <c r="D48" s="76"/>
      <c r="E48" s="76"/>
      <c r="F48" s="76"/>
      <c r="G48" s="76"/>
      <c r="H48" s="76"/>
      <c r="I48" s="76"/>
      <c r="J48" s="76"/>
      <c r="K48" s="76"/>
      <c r="L48" s="76"/>
    </row>
    <row r="49" spans="4:11" x14ac:dyDescent="0.25">
      <c r="D49" s="76"/>
      <c r="E49" s="76"/>
      <c r="F49" s="76"/>
      <c r="G49" s="76"/>
      <c r="H49" s="76"/>
      <c r="I49" s="76"/>
      <c r="J49" s="76"/>
      <c r="K49" s="76"/>
    </row>
    <row r="50" spans="4:11" x14ac:dyDescent="0.25">
      <c r="D50" s="76"/>
      <c r="E50" s="76"/>
      <c r="F50" s="76"/>
      <c r="G50" s="76"/>
      <c r="H50" s="76"/>
      <c r="I50" s="76"/>
      <c r="J50" s="76"/>
      <c r="K50" s="76"/>
    </row>
    <row r="51" spans="4:11" x14ac:dyDescent="0.25">
      <c r="D51" s="76"/>
      <c r="E51" s="76"/>
      <c r="F51" s="76"/>
      <c r="G51" s="76"/>
      <c r="H51" s="76"/>
      <c r="I51" s="76"/>
      <c r="J51" s="76"/>
      <c r="K51" s="76"/>
    </row>
    <row r="52" spans="4:11" x14ac:dyDescent="0.25">
      <c r="D52" s="76"/>
    </row>
    <row r="54" spans="4:11" x14ac:dyDescent="0.25">
      <c r="D54" s="76"/>
      <c r="E54" s="76"/>
      <c r="F54" s="76"/>
      <c r="G54" s="76"/>
      <c r="H54" s="76"/>
      <c r="I54" s="76"/>
      <c r="J54" s="76"/>
      <c r="K54" s="76"/>
    </row>
    <row r="55" spans="4:11" x14ac:dyDescent="0.25">
      <c r="D55" s="76"/>
      <c r="E55" s="76"/>
      <c r="F55" s="76"/>
      <c r="G55" s="76"/>
      <c r="H55" s="76"/>
      <c r="I55" s="76"/>
      <c r="J55" s="76"/>
      <c r="K55" s="76"/>
    </row>
    <row r="56" spans="4:11" x14ac:dyDescent="0.25">
      <c r="D56" s="76"/>
      <c r="E56" s="76"/>
      <c r="F56" s="76"/>
      <c r="G56" s="76"/>
      <c r="H56" s="76"/>
      <c r="I56" s="76"/>
      <c r="J56" s="76"/>
      <c r="K56" s="76"/>
    </row>
    <row r="57" spans="4:11" x14ac:dyDescent="0.25">
      <c r="D57" s="76"/>
      <c r="E57" s="76"/>
      <c r="F57" s="76"/>
      <c r="G57" s="76"/>
      <c r="H57" s="76"/>
      <c r="I57" s="76"/>
      <c r="J57" s="76"/>
      <c r="K57" s="76"/>
    </row>
    <row r="58" spans="4:11" x14ac:dyDescent="0.25">
      <c r="D58" s="76"/>
      <c r="E58" s="76"/>
      <c r="F58" s="76"/>
      <c r="G58" s="76"/>
      <c r="H58" s="76"/>
      <c r="I58" s="76"/>
      <c r="J58" s="76"/>
      <c r="K58" s="76"/>
    </row>
    <row r="59" spans="4:11" x14ac:dyDescent="0.25">
      <c r="D59" s="76"/>
      <c r="E59" s="76"/>
      <c r="F59" s="76"/>
      <c r="G59" s="76"/>
      <c r="H59" s="76"/>
      <c r="I59" s="76"/>
      <c r="J59" s="76"/>
      <c r="K59" s="76"/>
    </row>
    <row r="60" spans="4:11" x14ac:dyDescent="0.25">
      <c r="D60" s="76"/>
      <c r="E60" s="76"/>
      <c r="F60" s="76"/>
      <c r="G60" s="76"/>
      <c r="H60" s="76"/>
      <c r="I60" s="76"/>
      <c r="J60" s="76"/>
      <c r="K60" s="76"/>
    </row>
  </sheetData>
  <sheetProtection algorithmName="SHA-512" hashValue="B7IOcXU2uYEavALyBc/+h59+rehWXtBeKIbxopbkgmosgCJlWgF9nY6vznXO1LkECp19qM0PeHcCZwGkXT76dg==" saltValue="yOBY+vVI8qVRo8YiZQh30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38"/>
  <sheetViews>
    <sheetView topLeftCell="A12" workbookViewId="0">
      <selection activeCell="J38" sqref="J38"/>
    </sheetView>
  </sheetViews>
  <sheetFormatPr defaultRowHeight="15" x14ac:dyDescent="0.25"/>
  <cols>
    <col min="1" max="1" width="27.7109375" bestFit="1" customWidth="1"/>
    <col min="2" max="2" width="14" bestFit="1" customWidth="1"/>
    <col min="3" max="3" width="11.140625" bestFit="1" customWidth="1"/>
    <col min="5" max="5" width="13" customWidth="1"/>
    <col min="7" max="7" width="10.85546875" bestFit="1" customWidth="1"/>
    <col min="9" max="9" width="10.85546875" bestFit="1" customWidth="1"/>
  </cols>
  <sheetData>
    <row r="1" spans="1:9" x14ac:dyDescent="0.25">
      <c r="A1" s="55"/>
      <c r="B1" s="56" t="s">
        <v>0</v>
      </c>
      <c r="C1" s="55"/>
      <c r="D1" s="55"/>
      <c r="E1" s="56" t="s">
        <v>1</v>
      </c>
      <c r="G1" s="56" t="s">
        <v>196</v>
      </c>
      <c r="I1" s="56" t="s">
        <v>197</v>
      </c>
    </row>
    <row r="2" spans="1:9" ht="15.75" x14ac:dyDescent="0.25">
      <c r="A2" s="113" t="s">
        <v>191</v>
      </c>
      <c r="B2" s="58">
        <f>SUM(Income!F12)</f>
        <v>0</v>
      </c>
      <c r="C2" s="55"/>
      <c r="D2" s="55"/>
      <c r="E2" s="58">
        <f>SUM(Income!H12)</f>
        <v>0</v>
      </c>
      <c r="G2" s="58">
        <f>SUM(Income!J12)</f>
        <v>0</v>
      </c>
      <c r="I2" s="58">
        <f>SUM(Income!L12)</f>
        <v>0</v>
      </c>
    </row>
    <row r="3" spans="1:9" ht="15.75" x14ac:dyDescent="0.25">
      <c r="A3" s="57" t="s">
        <v>54</v>
      </c>
      <c r="B3" s="58">
        <f>SUM(Income!F6+Income!F8)</f>
        <v>0</v>
      </c>
      <c r="C3" s="58"/>
      <c r="D3" s="58"/>
      <c r="E3" s="58">
        <f>SUM(Income!H6+Income!H8)</f>
        <v>0</v>
      </c>
      <c r="G3" s="58">
        <f>SUM(Income!J6+Income!J8)</f>
        <v>0</v>
      </c>
      <c r="I3" s="58">
        <f>SUM(Income!L6+Income!L8)</f>
        <v>0</v>
      </c>
    </row>
    <row r="4" spans="1:9" ht="15.75" x14ac:dyDescent="0.25">
      <c r="A4" s="57" t="s">
        <v>212</v>
      </c>
      <c r="B4" s="58">
        <f>SUM(Income!F6)</f>
        <v>0</v>
      </c>
      <c r="C4" s="58"/>
      <c r="D4" s="58"/>
      <c r="E4" s="58">
        <f>SUM(Income!H6)</f>
        <v>0</v>
      </c>
      <c r="G4" s="58">
        <f>SUM(Income!J6)</f>
        <v>0</v>
      </c>
      <c r="I4" s="58">
        <f>SUM(Income!L6)</f>
        <v>0</v>
      </c>
    </row>
    <row r="5" spans="1:9" x14ac:dyDescent="0.25">
      <c r="A5" s="55"/>
      <c r="B5" s="58"/>
      <c r="C5" s="58"/>
      <c r="D5" s="58"/>
      <c r="E5" s="58"/>
      <c r="G5" s="58"/>
      <c r="I5" s="58"/>
    </row>
    <row r="6" spans="1:9" x14ac:dyDescent="0.25">
      <c r="A6" s="55" t="s">
        <v>2</v>
      </c>
      <c r="B6">
        <f>IF(B$3&lt;=0,0,IF(B$3&lt;=$B$33,$B$30,($B$30-((B$3-$B$33)/2))))</f>
        <v>0</v>
      </c>
      <c r="E6">
        <f>IF(E$3&lt;=0,0,IF(E$3&lt;=$B$33,$B$30,($B$30-((E$3-$B$33)/2))))</f>
        <v>0</v>
      </c>
      <c r="G6">
        <f>IF(G$3&lt;=0,0,IF(G$3&lt;=$B$33,$B$30,($B$30-((G$3-$B$33)/2))))</f>
        <v>0</v>
      </c>
      <c r="I6">
        <f>IF(I$3&lt;=0,0,IF(I$3&lt;=$B$33,$B$30,($B$30-((I$3-$B$33)/2))))</f>
        <v>0</v>
      </c>
    </row>
    <row r="7" spans="1:9" x14ac:dyDescent="0.25">
      <c r="A7" s="59" t="s">
        <v>139</v>
      </c>
      <c r="B7" s="60">
        <f>IF(B6&lt;0,0,B6)</f>
        <v>0</v>
      </c>
      <c r="C7" s="60"/>
      <c r="D7" s="60"/>
      <c r="E7" s="60">
        <f>IF(E6&lt;0,0,E6)</f>
        <v>0</v>
      </c>
      <c r="G7" s="60">
        <f>IF(G6&lt;0,0,G6)</f>
        <v>0</v>
      </c>
      <c r="I7" s="60">
        <f>IF(I6&lt;0,0,I6)</f>
        <v>0</v>
      </c>
    </row>
    <row r="8" spans="1:9" x14ac:dyDescent="0.25">
      <c r="A8" s="55" t="s">
        <v>54</v>
      </c>
      <c r="B8" s="58">
        <f>IF(B3&lt;=B7,0,SUM(B3-B7))</f>
        <v>0</v>
      </c>
      <c r="C8" s="58"/>
      <c r="D8" s="58"/>
      <c r="E8" s="58">
        <f>IF(E3&lt;=E7,0,SUM(E3-E7))</f>
        <v>0</v>
      </c>
      <c r="G8" s="58">
        <f>IF(G3&lt;=G7,0,SUM(G3-G7))</f>
        <v>0</v>
      </c>
      <c r="I8" s="58">
        <f>IF(I3&lt;=I7,0,SUM(I3-I7))</f>
        <v>0</v>
      </c>
    </row>
    <row r="9" spans="1:9" x14ac:dyDescent="0.25">
      <c r="A9" s="55" t="str">
        <f>"NIC Income &lt;= " &amp; VALUE($B$37)</f>
        <v>NIC Income &lt;= 50270</v>
      </c>
      <c r="B9" s="58">
        <f>IF(B$4&lt;=0,0,IF(B4&lt;=$B$37,(B4-$B$36)*$D$37,0))</f>
        <v>0</v>
      </c>
      <c r="C9" s="55"/>
      <c r="D9" s="55"/>
      <c r="E9" s="58">
        <f>IF(E$4&lt;=0,0,IF(E4&lt;=$B$37,(E4-$B$36)*$D$37,0))</f>
        <v>0</v>
      </c>
      <c r="G9" s="58">
        <f>IF(G$4&lt;=0,0,IF(G4&lt;=$B$37,(G4-$B$36)*$D$37,0))</f>
        <v>0</v>
      </c>
      <c r="I9" s="58">
        <f>IF(I$4&lt;=0,0,IF(I4&lt;=$B$37,(I4-$B$36)*$D$37,0))</f>
        <v>0</v>
      </c>
    </row>
    <row r="10" spans="1:9" x14ac:dyDescent="0.25">
      <c r="A10" s="59" t="s">
        <v>139</v>
      </c>
      <c r="B10" s="60">
        <f>IF(B9&lt;0,0,B9)</f>
        <v>0</v>
      </c>
      <c r="C10" s="61"/>
      <c r="D10" s="61"/>
      <c r="E10" s="60">
        <f>IF(E9&lt;0,0,E9)</f>
        <v>0</v>
      </c>
      <c r="G10" s="60">
        <f>IF(G9&lt;0,0,G9)</f>
        <v>0</v>
      </c>
      <c r="I10" s="60">
        <f>IF(I9&lt;0,0,I9)</f>
        <v>0</v>
      </c>
    </row>
    <row r="11" spans="1:9" x14ac:dyDescent="0.25">
      <c r="A11" s="55" t="str">
        <f>"NIC Income &gt; " &amp; VALUE($B$37)</f>
        <v>NIC Income &gt; 50270</v>
      </c>
      <c r="B11" s="58">
        <f>IF(B4&gt;$B$37,($C$37*$D$37)+((B4-$B$37)*$D$38),0)</f>
        <v>0</v>
      </c>
      <c r="C11" s="55"/>
      <c r="D11" s="55"/>
      <c r="E11" s="58">
        <f>IF(E4&gt;$B$37,($C$37*$D$37)+((E4-$B$37)*$D$38),0)</f>
        <v>0</v>
      </c>
      <c r="G11" s="58">
        <f>IF(G4&gt;$B$37,($C$37*$D$37)+((G4-$B$37)*$D$38),0)</f>
        <v>0</v>
      </c>
      <c r="I11" s="58">
        <f>IF(I4&gt;$B$37,($C$37*$D$37)+((I4-$B$37)*$D$38),0)</f>
        <v>0</v>
      </c>
    </row>
    <row r="12" spans="1:9" x14ac:dyDescent="0.25">
      <c r="A12" s="55"/>
      <c r="B12" s="55"/>
      <c r="C12" s="55"/>
      <c r="D12" s="55"/>
      <c r="E12" s="55"/>
      <c r="G12" s="55"/>
      <c r="I12" s="55"/>
    </row>
    <row r="13" spans="1:9" x14ac:dyDescent="0.25">
      <c r="A13" s="55" t="s">
        <v>56</v>
      </c>
      <c r="B13" s="58">
        <f>MIN($C$30,B8)</f>
        <v>0</v>
      </c>
      <c r="C13" s="55"/>
      <c r="D13" s="55"/>
      <c r="E13" s="58">
        <f>MIN($C$30,E8)</f>
        <v>0</v>
      </c>
      <c r="G13" s="58">
        <f>MIN($C$30,G8)</f>
        <v>0</v>
      </c>
      <c r="I13" s="58">
        <f>MIN($C$30,I8)</f>
        <v>0</v>
      </c>
    </row>
    <row r="14" spans="1:9" x14ac:dyDescent="0.25">
      <c r="A14" s="55" t="s">
        <v>55</v>
      </c>
      <c r="B14" s="62">
        <f>SUM(B13*$D$30)</f>
        <v>0</v>
      </c>
      <c r="C14" s="55"/>
      <c r="D14" s="55"/>
      <c r="E14" s="62">
        <f>SUM(E13*$D$30)</f>
        <v>0</v>
      </c>
      <c r="G14" s="62">
        <f>SUM(G13*$D$30)</f>
        <v>0</v>
      </c>
      <c r="I14" s="62">
        <f>SUM(I13*$D$30)</f>
        <v>0</v>
      </c>
    </row>
    <row r="15" spans="1:9" x14ac:dyDescent="0.25">
      <c r="A15" s="55" t="s">
        <v>59</v>
      </c>
      <c r="B15" s="58">
        <f>MIN($C$31,B8)-B13</f>
        <v>0</v>
      </c>
      <c r="C15" s="55"/>
      <c r="D15" s="55"/>
      <c r="E15" s="58">
        <f>MIN($C$31,E8)-E13</f>
        <v>0</v>
      </c>
      <c r="G15" s="58">
        <f>MIN($C$31,G8)-G13</f>
        <v>0</v>
      </c>
      <c r="I15" s="58">
        <f>MIN($C$31,I8)-I13</f>
        <v>0</v>
      </c>
    </row>
    <row r="16" spans="1:9" x14ac:dyDescent="0.25">
      <c r="A16" s="55" t="s">
        <v>57</v>
      </c>
      <c r="B16" s="62">
        <f>SUM(B15*$D$31)</f>
        <v>0</v>
      </c>
      <c r="C16" s="55"/>
      <c r="D16" s="55"/>
      <c r="E16" s="62">
        <f>SUM(E15*$D$31)</f>
        <v>0</v>
      </c>
      <c r="G16" s="62">
        <f>SUM(G15*$D$31)</f>
        <v>0</v>
      </c>
      <c r="I16" s="62">
        <f>SUM(I15*$D$31)</f>
        <v>0</v>
      </c>
    </row>
    <row r="17" spans="1:9" x14ac:dyDescent="0.25">
      <c r="A17" s="55" t="s">
        <v>60</v>
      </c>
      <c r="B17" s="58">
        <f>MIN($B38,B8)-B13-B15</f>
        <v>0</v>
      </c>
      <c r="C17" s="58"/>
      <c r="D17" s="55"/>
      <c r="E17" s="58">
        <f>MIN($B38,E8)-E13-E15</f>
        <v>0</v>
      </c>
      <c r="G17" s="58">
        <f>MIN($B38,G8)-G13-G15</f>
        <v>0</v>
      </c>
      <c r="I17" s="58">
        <f>MIN($B38,I8)-I13-I15</f>
        <v>0</v>
      </c>
    </row>
    <row r="18" spans="1:9" x14ac:dyDescent="0.25">
      <c r="A18" s="63" t="s">
        <v>58</v>
      </c>
      <c r="B18" s="62">
        <f>SUM(B17*$D$32)</f>
        <v>0</v>
      </c>
      <c r="C18" s="55"/>
      <c r="D18" s="55"/>
      <c r="E18" s="62">
        <f>SUM(E17*$D$32)</f>
        <v>0</v>
      </c>
      <c r="G18" s="62">
        <f>SUM(G17*$D$32)</f>
        <v>0</v>
      </c>
      <c r="I18" s="62">
        <f>SUM(I17*$D$32)</f>
        <v>0</v>
      </c>
    </row>
    <row r="19" spans="1:9" x14ac:dyDescent="0.25">
      <c r="A19" s="63"/>
      <c r="B19" s="58"/>
      <c r="C19" s="55"/>
      <c r="D19" s="55"/>
      <c r="E19" s="58"/>
      <c r="G19" s="58"/>
      <c r="I19" s="58"/>
    </row>
    <row r="20" spans="1:9" x14ac:dyDescent="0.25">
      <c r="A20" s="55" t="s">
        <v>61</v>
      </c>
      <c r="B20" s="58">
        <f>SUM(B14+B16+B18)</f>
        <v>0</v>
      </c>
      <c r="C20" s="55"/>
      <c r="D20" s="55"/>
      <c r="E20" s="58">
        <f>SUM(E14+E16+E18)</f>
        <v>0</v>
      </c>
      <c r="G20" s="58">
        <f>SUM(G14+G16+G18)</f>
        <v>0</v>
      </c>
      <c r="I20" s="58">
        <f>SUM(I14+I16+I18)</f>
        <v>0</v>
      </c>
    </row>
    <row r="21" spans="1:9" x14ac:dyDescent="0.25">
      <c r="A21" s="63" t="s">
        <v>62</v>
      </c>
      <c r="B21" s="58">
        <f>IF(B4&gt;$B37,B11,B10)</f>
        <v>0</v>
      </c>
      <c r="C21" s="55"/>
      <c r="D21" s="55"/>
      <c r="E21" s="58">
        <f>IF(E4&gt;$B37,E11,E10)</f>
        <v>0</v>
      </c>
      <c r="G21" s="58">
        <f>IF(G4&gt;$B37,G11,G10)</f>
        <v>0</v>
      </c>
      <c r="I21" s="58">
        <f>IF(I4&gt;$B37,I11,I10)</f>
        <v>0</v>
      </c>
    </row>
    <row r="22" spans="1:9" x14ac:dyDescent="0.25">
      <c r="A22" s="55"/>
      <c r="C22" s="55"/>
      <c r="D22" s="55"/>
      <c r="E22" s="58"/>
      <c r="G22" s="58"/>
      <c r="I22" s="58"/>
    </row>
    <row r="23" spans="1:9" x14ac:dyDescent="0.25">
      <c r="A23" s="64" t="s">
        <v>3</v>
      </c>
      <c r="B23" s="65">
        <f>SUM(B20:B21)</f>
        <v>0</v>
      </c>
      <c r="C23" s="55"/>
      <c r="D23" s="55"/>
      <c r="E23" s="65">
        <f>SUM(E20:E21)</f>
        <v>0</v>
      </c>
      <c r="G23" s="65">
        <f>SUM(G20:G21)</f>
        <v>0</v>
      </c>
      <c r="I23" s="65">
        <f>SUM(I20:I21)</f>
        <v>0</v>
      </c>
    </row>
    <row r="24" spans="1:9" x14ac:dyDescent="0.25">
      <c r="A24" s="55"/>
      <c r="B24" s="55"/>
      <c r="C24" s="55"/>
      <c r="D24" s="55"/>
      <c r="E24" s="55"/>
      <c r="G24" s="55"/>
      <c r="I24" s="55"/>
    </row>
    <row r="25" spans="1:9" x14ac:dyDescent="0.25">
      <c r="A25" s="66" t="s">
        <v>4</v>
      </c>
      <c r="B25" s="65">
        <f>IF(B2&gt;0,(B2-B23)/12,0)</f>
        <v>0</v>
      </c>
      <c r="C25" s="55"/>
      <c r="D25" s="55"/>
      <c r="E25" s="65">
        <f>IF(E2&gt;0,(E2-E23)/12,0)</f>
        <v>0</v>
      </c>
      <c r="G25" s="65">
        <f>IF(G2&gt;0,(G2-G23)/12,0)</f>
        <v>0</v>
      </c>
      <c r="I25" s="65">
        <f>IF(I2&gt;0,(I2-I23)/12,0)</f>
        <v>0</v>
      </c>
    </row>
    <row r="28" spans="1:9" x14ac:dyDescent="0.25">
      <c r="A28" s="8" t="s">
        <v>167</v>
      </c>
    </row>
    <row r="29" spans="1:9" x14ac:dyDescent="0.25">
      <c r="A29" t="s">
        <v>168</v>
      </c>
      <c r="B29" s="73">
        <v>0</v>
      </c>
      <c r="C29" s="73">
        <f>B30-B29</f>
        <v>12570</v>
      </c>
      <c r="D29" s="74">
        <v>0</v>
      </c>
    </row>
    <row r="30" spans="1:9" x14ac:dyDescent="0.25">
      <c r="A30" t="s">
        <v>169</v>
      </c>
      <c r="B30" s="73">
        <v>12570</v>
      </c>
      <c r="C30" s="73">
        <f>B31-B30</f>
        <v>37700</v>
      </c>
      <c r="D30" s="74">
        <v>0.2</v>
      </c>
    </row>
    <row r="31" spans="1:9" x14ac:dyDescent="0.25">
      <c r="A31" t="s">
        <v>170</v>
      </c>
      <c r="B31" s="73">
        <v>50270</v>
      </c>
      <c r="C31" s="73">
        <f>B32</f>
        <v>125140</v>
      </c>
      <c r="D31" s="74">
        <v>0.4</v>
      </c>
    </row>
    <row r="32" spans="1:9" x14ac:dyDescent="0.25">
      <c r="A32" t="s">
        <v>171</v>
      </c>
      <c r="B32" s="73">
        <v>125140</v>
      </c>
      <c r="C32" s="73"/>
      <c r="D32" s="74">
        <v>0.45</v>
      </c>
    </row>
    <row r="33" spans="1:4" x14ac:dyDescent="0.25">
      <c r="A33" t="s">
        <v>172</v>
      </c>
      <c r="B33" s="73">
        <v>100000</v>
      </c>
      <c r="C33" s="73"/>
      <c r="D33" s="75">
        <v>2</v>
      </c>
    </row>
    <row r="35" spans="1:4" x14ac:dyDescent="0.25">
      <c r="A35" s="8" t="s">
        <v>173</v>
      </c>
    </row>
    <row r="36" spans="1:4" x14ac:dyDescent="0.25">
      <c r="A36" t="s">
        <v>174</v>
      </c>
      <c r="B36" s="73">
        <v>12570</v>
      </c>
      <c r="C36" s="73">
        <f>B36</f>
        <v>12570</v>
      </c>
      <c r="D36" s="74">
        <v>0</v>
      </c>
    </row>
    <row r="37" spans="1:4" x14ac:dyDescent="0.25">
      <c r="A37" t="s">
        <v>169</v>
      </c>
      <c r="B37" s="73">
        <v>50270</v>
      </c>
      <c r="C37" s="73">
        <f>B37-B36</f>
        <v>37700</v>
      </c>
      <c r="D37" s="124">
        <v>0.08</v>
      </c>
    </row>
    <row r="38" spans="1:4" x14ac:dyDescent="0.25">
      <c r="A38" t="s">
        <v>170</v>
      </c>
      <c r="B38" s="73">
        <v>50000000</v>
      </c>
      <c r="D38" s="124">
        <v>0.02</v>
      </c>
    </row>
  </sheetData>
  <sheetProtection algorithmName="SHA-512" hashValue="0gUpnXSgZViPlWnIHnwIb7Uw399uOr9kCloglB8Hu3FAljOBLVe9NvvbYKaUxzedI9BHk0Q5ue7/s0gKQ3Afzw==" saltValue="9V8kzsIkgycengyd0wcKow==" spinCount="100000" sheet="1" objects="1" scenarios="1" selectLockedCell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6"/>
  <sheetViews>
    <sheetView workbookViewId="0">
      <selection activeCell="A6" sqref="A6"/>
    </sheetView>
  </sheetViews>
  <sheetFormatPr defaultRowHeight="15" x14ac:dyDescent="0.25"/>
  <cols>
    <col min="6" max="6" width="11.5703125" bestFit="1" customWidth="1"/>
  </cols>
  <sheetData>
    <row r="1" spans="1:6" ht="15.75" thickBot="1" x14ac:dyDescent="0.3">
      <c r="A1" s="28">
        <f>SUM(Results!H20/Calc!F3)</f>
        <v>0</v>
      </c>
    </row>
    <row r="2" spans="1:6" ht="15.75" thickBot="1" x14ac:dyDescent="0.3">
      <c r="A2" s="2" t="s">
        <v>21</v>
      </c>
      <c r="B2" s="1"/>
      <c r="C2" s="1"/>
      <c r="D2" s="1"/>
      <c r="E2" s="1"/>
      <c r="F2" s="3">
        <f>IF(Expenditure!F32&gt;=Expenditure!M32,Expenditure!F32,Expenditure!M32)</f>
        <v>707.19999999999993</v>
      </c>
    </row>
    <row r="3" spans="1:6" ht="16.5" thickBot="1" x14ac:dyDescent="0.3">
      <c r="A3" s="2" t="s">
        <v>22</v>
      </c>
      <c r="B3" s="1"/>
      <c r="C3" s="1"/>
      <c r="D3" s="1"/>
      <c r="E3" s="1"/>
      <c r="F3" s="4">
        <f>SUM(Income!F14+Income!H14+Income!J14+Income!L14)-Calc!F2</f>
        <v>-707.19999999999993</v>
      </c>
    </row>
    <row r="6" spans="1:6" x14ac:dyDescent="0.25">
      <c r="A6" s="119" t="e">
        <f>Results!H26/Results!H20</f>
        <v>#DIV/0!</v>
      </c>
    </row>
  </sheetData>
  <sheetProtection algorithmName="SHA-512" hashValue="6eeV+7cRwssTr0DV5KWLtf9uDNluTHxzcEyFVkz/GpXipbo0gb4QcizUPx6NN9b7Syn1nxoUdnNHb/lPc/ijiw==" saltValue="Q/luxW0cnSzB5uJbw/yE2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Q55"/>
  <sheetViews>
    <sheetView workbookViewId="0">
      <selection activeCell="D26" sqref="D26"/>
    </sheetView>
  </sheetViews>
  <sheetFormatPr defaultColWidth="9.140625" defaultRowHeight="15" x14ac:dyDescent="0.25"/>
  <cols>
    <col min="4" max="4" width="40.28515625" customWidth="1"/>
  </cols>
  <sheetData>
    <row r="1" spans="1:17" ht="18.75" x14ac:dyDescent="0.3">
      <c r="A1" s="35" t="s">
        <v>67</v>
      </c>
    </row>
    <row r="3" spans="1:17" x14ac:dyDescent="0.25">
      <c r="A3" s="84" t="s">
        <v>190</v>
      </c>
      <c r="E3" s="114" t="s">
        <v>195</v>
      </c>
    </row>
    <row r="4" spans="1:17" x14ac:dyDescent="0.25">
      <c r="A4" s="84" t="s">
        <v>189</v>
      </c>
      <c r="E4" s="143" t="s">
        <v>194</v>
      </c>
      <c r="F4" s="143"/>
      <c r="G4" s="143"/>
      <c r="H4" s="143"/>
      <c r="I4" s="143"/>
      <c r="J4" s="143"/>
      <c r="K4" s="143"/>
      <c r="L4" s="143"/>
      <c r="M4" s="143"/>
      <c r="N4" s="143"/>
      <c r="O4" s="143"/>
      <c r="P4" s="143"/>
      <c r="Q4" s="143"/>
    </row>
    <row r="5" spans="1:17" x14ac:dyDescent="0.25">
      <c r="A5" s="84"/>
      <c r="E5" s="143"/>
      <c r="F5" s="143"/>
      <c r="G5" s="143"/>
      <c r="H5" s="143"/>
      <c r="I5" s="143"/>
      <c r="J5" s="143"/>
      <c r="K5" s="143"/>
      <c r="L5" s="143"/>
      <c r="M5" s="143"/>
      <c r="N5" s="143"/>
      <c r="O5" s="143"/>
      <c r="P5" s="143"/>
      <c r="Q5" s="143"/>
    </row>
    <row r="6" spans="1:17" x14ac:dyDescent="0.25">
      <c r="A6" s="84" t="s">
        <v>48</v>
      </c>
      <c r="E6" s="115" t="s">
        <v>68</v>
      </c>
    </row>
    <row r="7" spans="1:17" x14ac:dyDescent="0.25">
      <c r="A7" s="8" t="s">
        <v>192</v>
      </c>
      <c r="E7" s="115" t="s">
        <v>69</v>
      </c>
    </row>
    <row r="8" spans="1:17" x14ac:dyDescent="0.25">
      <c r="A8" s="8" t="s">
        <v>49</v>
      </c>
      <c r="E8" s="115" t="s">
        <v>70</v>
      </c>
    </row>
    <row r="11" spans="1:17" ht="18.75" x14ac:dyDescent="0.3">
      <c r="A11" s="35" t="s">
        <v>75</v>
      </c>
    </row>
    <row r="13" spans="1:17" x14ac:dyDescent="0.25">
      <c r="A13" s="84" t="s">
        <v>34</v>
      </c>
    </row>
    <row r="14" spans="1:17" x14ac:dyDescent="0.25">
      <c r="A14" s="107" t="s">
        <v>63</v>
      </c>
      <c r="E14" t="s">
        <v>158</v>
      </c>
    </row>
    <row r="15" spans="1:17" x14ac:dyDescent="0.25">
      <c r="A15" s="107" t="s">
        <v>43</v>
      </c>
      <c r="E15" t="s">
        <v>71</v>
      </c>
    </row>
    <row r="16" spans="1:17" x14ac:dyDescent="0.25">
      <c r="A16" s="107" t="s">
        <v>44</v>
      </c>
      <c r="E16" t="s">
        <v>72</v>
      </c>
    </row>
    <row r="17" spans="1:5" x14ac:dyDescent="0.25">
      <c r="A17" s="107" t="s">
        <v>73</v>
      </c>
      <c r="E17" t="s">
        <v>74</v>
      </c>
    </row>
    <row r="18" spans="1:5" x14ac:dyDescent="0.25">
      <c r="A18" s="107" t="s">
        <v>35</v>
      </c>
      <c r="E18" t="s">
        <v>76</v>
      </c>
    </row>
    <row r="19" spans="1:5" x14ac:dyDescent="0.25">
      <c r="A19" s="107" t="s">
        <v>36</v>
      </c>
      <c r="E19" t="s">
        <v>78</v>
      </c>
    </row>
    <row r="21" spans="1:5" x14ac:dyDescent="0.25">
      <c r="A21" s="84" t="s">
        <v>38</v>
      </c>
    </row>
    <row r="22" spans="1:5" x14ac:dyDescent="0.25">
      <c r="A22" s="107" t="s">
        <v>160</v>
      </c>
      <c r="E22" t="s">
        <v>161</v>
      </c>
    </row>
    <row r="23" spans="1:5" x14ac:dyDescent="0.25">
      <c r="A23" s="107" t="s">
        <v>39</v>
      </c>
      <c r="E23" t="s">
        <v>79</v>
      </c>
    </row>
    <row r="24" spans="1:5" x14ac:dyDescent="0.25">
      <c r="A24" s="107" t="s">
        <v>40</v>
      </c>
      <c r="E24" t="s">
        <v>132</v>
      </c>
    </row>
    <row r="26" spans="1:5" x14ac:dyDescent="0.25">
      <c r="A26" s="84" t="s">
        <v>41</v>
      </c>
    </row>
    <row r="27" spans="1:5" x14ac:dyDescent="0.25">
      <c r="A27" s="107" t="s">
        <v>162</v>
      </c>
      <c r="E27" t="s">
        <v>80</v>
      </c>
    </row>
    <row r="28" spans="1:5" x14ac:dyDescent="0.25">
      <c r="A28" s="107" t="s">
        <v>163</v>
      </c>
      <c r="E28" t="s">
        <v>80</v>
      </c>
    </row>
    <row r="29" spans="1:5" x14ac:dyDescent="0.25">
      <c r="A29" s="107" t="s">
        <v>164</v>
      </c>
      <c r="E29" t="s">
        <v>81</v>
      </c>
    </row>
    <row r="30" spans="1:5" x14ac:dyDescent="0.25">
      <c r="A30" s="107" t="s">
        <v>165</v>
      </c>
      <c r="E30" t="s">
        <v>80</v>
      </c>
    </row>
    <row r="31" spans="1:5" x14ac:dyDescent="0.25">
      <c r="A31" s="107" t="s">
        <v>46</v>
      </c>
      <c r="E31" t="s">
        <v>81</v>
      </c>
    </row>
    <row r="33" spans="1:5" x14ac:dyDescent="0.25">
      <c r="A33" s="8" t="s">
        <v>42</v>
      </c>
      <c r="E33" s="115" t="s">
        <v>133</v>
      </c>
    </row>
    <row r="36" spans="1:5" ht="18.75" x14ac:dyDescent="0.3">
      <c r="A36" s="35" t="s">
        <v>82</v>
      </c>
    </row>
    <row r="38" spans="1:5" x14ac:dyDescent="0.25">
      <c r="A38" s="116" t="s">
        <v>24</v>
      </c>
      <c r="E38" t="s">
        <v>134</v>
      </c>
    </row>
    <row r="39" spans="1:5" x14ac:dyDescent="0.25">
      <c r="A39" s="116" t="s">
        <v>25</v>
      </c>
      <c r="E39" s="115" t="s">
        <v>85</v>
      </c>
    </row>
    <row r="40" spans="1:5" x14ac:dyDescent="0.25">
      <c r="A40" s="116" t="s">
        <v>26</v>
      </c>
      <c r="E40" t="s">
        <v>86</v>
      </c>
    </row>
    <row r="41" spans="1:5" x14ac:dyDescent="0.25">
      <c r="A41" s="117" t="s">
        <v>87</v>
      </c>
      <c r="E41" t="s">
        <v>88</v>
      </c>
    </row>
    <row r="42" spans="1:5" x14ac:dyDescent="0.25">
      <c r="A42" s="117" t="s">
        <v>27</v>
      </c>
      <c r="E42" t="s">
        <v>89</v>
      </c>
    </row>
    <row r="43" spans="1:5" x14ac:dyDescent="0.25">
      <c r="A43" s="116" t="s">
        <v>28</v>
      </c>
      <c r="E43" s="115" t="s">
        <v>166</v>
      </c>
    </row>
    <row r="44" spans="1:5" x14ac:dyDescent="0.25">
      <c r="A44" s="117" t="s">
        <v>90</v>
      </c>
      <c r="E44" t="s">
        <v>92</v>
      </c>
    </row>
    <row r="46" spans="1:5" x14ac:dyDescent="0.25">
      <c r="A46" s="84" t="s">
        <v>29</v>
      </c>
      <c r="E46" s="115" t="s">
        <v>91</v>
      </c>
    </row>
    <row r="47" spans="1:5" x14ac:dyDescent="0.25">
      <c r="A47" s="84" t="s">
        <v>30</v>
      </c>
      <c r="E47" s="115" t="s">
        <v>93</v>
      </c>
    </row>
    <row r="48" spans="1:5" x14ac:dyDescent="0.25">
      <c r="A48" s="84" t="s">
        <v>50</v>
      </c>
      <c r="E48" s="115" t="s">
        <v>94</v>
      </c>
    </row>
    <row r="49" spans="1:5" x14ac:dyDescent="0.25">
      <c r="E49" s="115" t="s">
        <v>95</v>
      </c>
    </row>
    <row r="50" spans="1:5" x14ac:dyDescent="0.25">
      <c r="E50" s="115" t="s">
        <v>96</v>
      </c>
    </row>
    <row r="51" spans="1:5" x14ac:dyDescent="0.25">
      <c r="A51" s="8" t="s">
        <v>66</v>
      </c>
      <c r="E51" s="115" t="s">
        <v>97</v>
      </c>
    </row>
    <row r="52" spans="1:5" x14ac:dyDescent="0.25">
      <c r="A52" s="8" t="s">
        <v>51</v>
      </c>
      <c r="E52" s="115" t="s">
        <v>99</v>
      </c>
    </row>
    <row r="53" spans="1:5" x14ac:dyDescent="0.25">
      <c r="E53" s="115" t="s">
        <v>98</v>
      </c>
    </row>
    <row r="54" spans="1:5" x14ac:dyDescent="0.25">
      <c r="A54" s="84" t="s">
        <v>31</v>
      </c>
      <c r="E54" s="115" t="s">
        <v>135</v>
      </c>
    </row>
    <row r="55" spans="1:5" x14ac:dyDescent="0.25">
      <c r="A55" s="8"/>
    </row>
  </sheetData>
  <sheetProtection selectLockedCells="1"/>
  <mergeCells count="1">
    <mergeCell ref="E4:Q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20"/>
  <sheetViews>
    <sheetView workbookViewId="0">
      <selection activeCell="G8" sqref="G8"/>
    </sheetView>
  </sheetViews>
  <sheetFormatPr defaultRowHeight="15" x14ac:dyDescent="0.25"/>
  <cols>
    <col min="13" max="13" width="9.85546875" customWidth="1"/>
  </cols>
  <sheetData>
    <row r="1" spans="1:13" ht="18.75" x14ac:dyDescent="0.3">
      <c r="A1" s="35" t="s">
        <v>100</v>
      </c>
    </row>
    <row r="3" spans="1:13" x14ac:dyDescent="0.25">
      <c r="A3" s="36" t="s">
        <v>102</v>
      </c>
      <c r="B3" t="s">
        <v>101</v>
      </c>
    </row>
    <row r="4" spans="1:13" x14ac:dyDescent="0.25">
      <c r="A4" s="36" t="s">
        <v>103</v>
      </c>
      <c r="B4" t="s">
        <v>104</v>
      </c>
    </row>
    <row r="5" spans="1:13" x14ac:dyDescent="0.25">
      <c r="A5" s="36" t="s">
        <v>105</v>
      </c>
      <c r="B5" t="s">
        <v>109</v>
      </c>
    </row>
    <row r="6" spans="1:13" x14ac:dyDescent="0.25">
      <c r="A6" s="36" t="s">
        <v>106</v>
      </c>
      <c r="B6" t="s">
        <v>107</v>
      </c>
    </row>
    <row r="7" spans="1:13" ht="15.75" thickBot="1" x14ac:dyDescent="0.3">
      <c r="A7" s="36" t="s">
        <v>108</v>
      </c>
      <c r="B7" t="s">
        <v>110</v>
      </c>
    </row>
    <row r="8" spans="1:13" ht="15.75" thickBot="1" x14ac:dyDescent="0.3">
      <c r="A8" s="36" t="s">
        <v>111</v>
      </c>
      <c r="B8" t="s">
        <v>112</v>
      </c>
      <c r="G8" s="40"/>
    </row>
    <row r="9" spans="1:13" ht="15.75" thickBot="1" x14ac:dyDescent="0.3">
      <c r="A9" s="36" t="s">
        <v>113</v>
      </c>
      <c r="B9" t="s">
        <v>114</v>
      </c>
      <c r="G9" s="41"/>
    </row>
    <row r="10" spans="1:13" x14ac:dyDescent="0.25">
      <c r="A10" s="36" t="s">
        <v>115</v>
      </c>
      <c r="B10" t="s">
        <v>116</v>
      </c>
    </row>
    <row r="11" spans="1:13" ht="15.75" thickBot="1" x14ac:dyDescent="0.3">
      <c r="A11" s="36" t="s">
        <v>117</v>
      </c>
      <c r="B11" t="s">
        <v>118</v>
      </c>
    </row>
    <row r="12" spans="1:13" ht="15.75" thickBot="1" x14ac:dyDescent="0.3">
      <c r="A12" s="36" t="s">
        <v>119</v>
      </c>
      <c r="B12" t="s">
        <v>112</v>
      </c>
      <c r="G12" s="42"/>
    </row>
    <row r="13" spans="1:13" ht="15.75" thickBot="1" x14ac:dyDescent="0.3">
      <c r="A13" s="36" t="s">
        <v>120</v>
      </c>
      <c r="B13" t="s">
        <v>121</v>
      </c>
      <c r="G13" s="36"/>
      <c r="M13" s="38">
        <f>SUM(G9-G12)</f>
        <v>0</v>
      </c>
    </row>
    <row r="14" spans="1:13" ht="15.75" thickBot="1" x14ac:dyDescent="0.3">
      <c r="A14" s="36" t="s">
        <v>122</v>
      </c>
      <c r="B14" t="s">
        <v>136</v>
      </c>
    </row>
    <row r="15" spans="1:13" ht="15.75" thickBot="1" x14ac:dyDescent="0.3">
      <c r="A15" s="36" t="s">
        <v>123</v>
      </c>
      <c r="B15" t="s">
        <v>124</v>
      </c>
      <c r="G15" s="37">
        <f>G12+G8</f>
        <v>0</v>
      </c>
    </row>
    <row r="16" spans="1:13" ht="15.75" thickBot="1" x14ac:dyDescent="0.3">
      <c r="A16" s="36" t="s">
        <v>125</v>
      </c>
      <c r="B16" t="s">
        <v>126</v>
      </c>
      <c r="M16" s="39" t="e">
        <f>SUM(G15/((Income!F14+Income!H14+Income!J14+Income!L14)-Expenditure!M13))</f>
        <v>#DIV/0!</v>
      </c>
    </row>
    <row r="17" spans="1:2" x14ac:dyDescent="0.25">
      <c r="A17" s="36" t="s">
        <v>127</v>
      </c>
      <c r="B17" t="s">
        <v>198</v>
      </c>
    </row>
    <row r="18" spans="1:2" x14ac:dyDescent="0.25">
      <c r="B18" t="s">
        <v>128</v>
      </c>
    </row>
    <row r="19" spans="1:2" x14ac:dyDescent="0.25">
      <c r="B19" t="s">
        <v>129</v>
      </c>
    </row>
    <row r="20" spans="1:2" x14ac:dyDescent="0.25">
      <c r="A20" s="36" t="s">
        <v>130</v>
      </c>
      <c r="B20" t="s">
        <v>131</v>
      </c>
    </row>
  </sheetData>
  <sheetProtection algorithmName="SHA-512" hashValue="DAkt30HmEOYOQJgLwQOAyWybGcZejutFHZESNRYor1sHoKFYD/L2j6zbXLNuhRIeSBBMk6agFb9SXBIIOIgGXg==" saltValue="1pcd4UAzU54//sXbk73Fzg==" spinCount="100000" sheet="1" selectLockedCells="1"/>
  <conditionalFormatting sqref="M13">
    <cfRule type="cellIs" dxfId="5" priority="5" operator="lessThan">
      <formula>0</formula>
    </cfRule>
    <cfRule type="cellIs" dxfId="4" priority="6" operator="greaterThanOrEqual">
      <formula>0</formula>
    </cfRule>
  </conditionalFormatting>
  <conditionalFormatting sqref="M16">
    <cfRule type="cellIs" dxfId="3" priority="1" operator="between">
      <formula>46</formula>
      <formula>55</formula>
    </cfRule>
    <cfRule type="cellIs" dxfId="2" priority="2" operator="greaterThanOrEqual">
      <formula>56%</formula>
    </cfRule>
    <cfRule type="cellIs" dxfId="1" priority="3" operator="between">
      <formula>46%</formula>
      <formula>55.99%</formula>
    </cfRule>
    <cfRule type="cellIs" dxfId="0" priority="4" operator="lessThanOrEqual">
      <formula>45.99%</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A125E-49CD-4AC1-932E-1888365E8E83}">
  <sheetPr codeName="Sheet11"/>
  <dimension ref="A1:C6"/>
  <sheetViews>
    <sheetView workbookViewId="0">
      <selection activeCell="D11" sqref="D11"/>
    </sheetView>
  </sheetViews>
  <sheetFormatPr defaultRowHeight="15" x14ac:dyDescent="0.25"/>
  <cols>
    <col min="1" max="1" width="17.28515625" bestFit="1" customWidth="1"/>
  </cols>
  <sheetData>
    <row r="1" spans="1:3" x14ac:dyDescent="0.25">
      <c r="A1" t="s">
        <v>199</v>
      </c>
      <c r="B1" t="s">
        <v>16</v>
      </c>
      <c r="C1" t="s">
        <v>202</v>
      </c>
    </row>
    <row r="2" spans="1:3" x14ac:dyDescent="0.25">
      <c r="A2" t="s">
        <v>200</v>
      </c>
      <c r="B2" t="s">
        <v>185</v>
      </c>
      <c r="C2" t="s">
        <v>203</v>
      </c>
    </row>
    <row r="6" spans="1:3" x14ac:dyDescent="0.25">
      <c r="A6" t="s">
        <v>211</v>
      </c>
      <c r="B6">
        <v>66</v>
      </c>
    </row>
  </sheetData>
  <sheetProtection algorithmName="SHA-512" hashValue="IaAI/q1fot0+IteVVyyWmSi+CCwJbX9LNL8WCv9XHsI5r/ofQAUhrnan5EaPf5vbhLRXNllMxtvX9a34Ha7fkg==" saltValue="mOUDySiZd8HOjoKrFcv20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Income</vt:lpstr>
      <vt:lpstr>Expenditure</vt:lpstr>
      <vt:lpstr>Results</vt:lpstr>
      <vt:lpstr>ONS Data</vt:lpstr>
      <vt:lpstr>Income Calculator</vt:lpstr>
      <vt:lpstr>Calc</vt:lpstr>
      <vt:lpstr>Help </vt:lpstr>
      <vt:lpstr>Part &amp; Part</vt:lpstr>
      <vt:lpstr>Lists2</vt:lpstr>
      <vt:lpstr>Lists</vt:lpstr>
      <vt:lpstr>ProductData</vt:lpstr>
      <vt:lpstr>Expenditure!Print_Area</vt:lpstr>
      <vt:lpstr>Income!Print_Area</vt:lpstr>
      <vt:lpstr>Results!Print_Area</vt:lpstr>
    </vt:vector>
  </TitlesOfParts>
  <Company>DBS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Hyde</dc:creator>
  <cp:lastModifiedBy>Emma Lewis</cp:lastModifiedBy>
  <cp:lastPrinted>2015-03-12T09:59:14Z</cp:lastPrinted>
  <dcterms:created xsi:type="dcterms:W3CDTF">2014-04-24T09:30:48Z</dcterms:created>
  <dcterms:modified xsi:type="dcterms:W3CDTF">2025-09-24T08:55:48Z</dcterms:modified>
</cp:coreProperties>
</file>